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Multi-Department\Environmental Planning\GHG Inventory\"/>
    </mc:Choice>
  </mc:AlternateContent>
  <workbookProtection workbookAlgorithmName="SHA-512" workbookHashValue="MOEdt7O2RIZS8QfCB0ejRiqL8/OTyL4nCYKfRxsksPfJ9emEYcwwq86e+PVwkOmkcio+zVBfoPeIt7jWYjp/sg==" workbookSaltValue="LEqFPvwHNNpj7kD+JJUzuw==" workbookSpinCount="100000" lockStructure="1"/>
  <bookViews>
    <workbookView xWindow="0" yWindow="0" windowWidth="28800" windowHeight="11700"/>
  </bookViews>
  <sheets>
    <sheet name="Introduction" sheetId="3" r:id="rId1"/>
    <sheet name="Constants and Trends" sheetId="2" r:id="rId2"/>
    <sheet name="Business As Usual" sheetId="1" r:id="rId3"/>
    <sheet name="On-Road" sheetId="4" r:id="rId4"/>
  </sheets>
  <externalReferences>
    <externalReference r:id="rId5"/>
    <externalReference r:id="rId6"/>
  </externalReferences>
  <definedNames>
    <definedName name="audit_comm" localSheetId="0">#REF!</definedName>
    <definedName name="audit_comm">#REF!</definedName>
    <definedName name="audit_ind" localSheetId="0">#REF!</definedName>
    <definedName name="audit_ind">#REF!</definedName>
    <definedName name="audit_inst" localSheetId="0">#REF!</definedName>
    <definedName name="audit_inst">#REF!</definedName>
    <definedName name="audit_muni" localSheetId="0">#REF!</definedName>
    <definedName name="audit_muni">#REF!</definedName>
    <definedName name="audit_res" localSheetId="0">#REF!</definedName>
    <definedName name="audit_res">#REF!</definedName>
    <definedName name="audit_sav">'[1]PART B'!$F$27:$P$27</definedName>
    <definedName name="bench_comm" localSheetId="0">#REF!</definedName>
    <definedName name="bench_comm">#REF!</definedName>
    <definedName name="bench_ind" localSheetId="0">#REF!</definedName>
    <definedName name="bench_ind">#REF!</definedName>
    <definedName name="bench_inst" localSheetId="0">#REF!</definedName>
    <definedName name="bench_inst">#REF!</definedName>
    <definedName name="bench_muni" localSheetId="0">#REF!</definedName>
    <definedName name="bench_muni">#REF!</definedName>
    <definedName name="bench_res" localSheetId="0">#REF!</definedName>
    <definedName name="bench_res">#REF!</definedName>
    <definedName name="bench_sav">'[1]PART B'!$F$9:$P$9</definedName>
    <definedName name="C_CO2">[2]constants!$B$14</definedName>
    <definedName name="capital">'[1]PART C'!$B$108:$L$191</definedName>
    <definedName name="challenge_comm" localSheetId="0">#REF!</definedName>
    <definedName name="challenge_comm">#REF!</definedName>
    <definedName name="challenge_inst" localSheetId="0">#REF!</definedName>
    <definedName name="challenge_inst">#REF!</definedName>
    <definedName name="challenge_sav">'[1]PART B'!$F$73:$P$73</definedName>
    <definedName name="city" localSheetId="0">#REF!</definedName>
    <definedName name="city">#REF!</definedName>
    <definedName name="city_list">[1]AppendixE_Cities!$A$6:$A$32</definedName>
    <definedName name="code_e_sav">'[1]PART B'!$F$63:$P$63</definedName>
    <definedName name="code_h_sav">'[1]PART B'!$F$59:$P$59</definedName>
    <definedName name="code_l_sav">'[1]PART B'!$F$55:$P$55</definedName>
    <definedName name="code_new_sav">'[1]PART B'!$F$70:$P$70</definedName>
    <definedName name="code_w_sav">'[1]PART B'!$F$67:$P$67</definedName>
    <definedName name="codes_comm" localSheetId="0">#REF!</definedName>
    <definedName name="codes_comm">#REF!</definedName>
    <definedName name="codes_ind" localSheetId="0">#REF!</definedName>
    <definedName name="codes_ind">#REF!</definedName>
    <definedName name="codes_inst" localSheetId="0">#REF!</definedName>
    <definedName name="codes_inst">#REF!</definedName>
    <definedName name="codes_muni" localSheetId="0">#REF!</definedName>
    <definedName name="codes_muni">#REF!</definedName>
    <definedName name="codes_res" localSheetId="0">#REF!</definedName>
    <definedName name="codes_res">#REF!</definedName>
    <definedName name="comm_eui_allbuilding">'[1]AppendixB_Commercial EUI'!$A$112:$N$124</definedName>
    <definedName name="comm_eui_elect">'[1]AppendixB_Commercial EUI'!$A$20:$G$29</definedName>
    <definedName name="comm_eui_ng">'[1]AppendixB_Commercial EUI'!$A$33:$G$42</definedName>
    <definedName name="comm_eui_oil">'[1]AppendixB_Commercial EUI'!$A$46:$G$55</definedName>
    <definedName name="comm_eui_pctdif">'[1]AppendixB_Commercial EUI'!$A$103:$S$108</definedName>
    <definedName name="comm_eui_sizes">'[1]AppendixB_Commercial EUI'!$A$7:$G$7</definedName>
    <definedName name="consumption">'[1]PART A'!$A$33:$K$37</definedName>
    <definedName name="convert_elect">'[1]AppendixA_Emission Factors'!$D$43</definedName>
    <definedName name="convert_ng">'[1]AppendixA_Emission Factors'!$D$44</definedName>
    <definedName name="convert_oil">'[1]AppendixA_Emission Factors'!$D$45</definedName>
    <definedName name="d" localSheetId="0">#REF!</definedName>
    <definedName name="d">#REF!</definedName>
    <definedName name="emissions">'[1]AppendixA_Emission Factors'!$B$6:$G$31</definedName>
    <definedName name="emissions_prepolicy">'[1]PART A'!$A$86:$M$89</definedName>
    <definedName name="expenditure">'[1]PART A'!$A$54:$K$58</definedName>
    <definedName name="grid">'[1]AppendixA_Emission Factors'!$C$34:$D$39</definedName>
    <definedName name="improve_comm" localSheetId="0">#REF!</definedName>
    <definedName name="improve_comm">#REF!</definedName>
    <definedName name="improve_ind" localSheetId="0">#REF!</definedName>
    <definedName name="improve_ind">#REF!</definedName>
    <definedName name="improve_inst" localSheetId="0">#REF!</definedName>
    <definedName name="improve_inst">#REF!</definedName>
    <definedName name="improve_muni" localSheetId="0">#REF!</definedName>
    <definedName name="improve_muni">#REF!</definedName>
    <definedName name="improve_res" localSheetId="0">#REF!</definedName>
    <definedName name="improve_res">#REF!</definedName>
    <definedName name="improve_sav">'[1]PART B'!$F$31:$P$31</definedName>
    <definedName name="LeachEF2">[2]constants!$G$22</definedName>
    <definedName name="lease_comm" localSheetId="0">#REF!</definedName>
    <definedName name="lease_comm">#REF!</definedName>
    <definedName name="lease_ind" localSheetId="0">#REF!</definedName>
    <definedName name="lease_ind">#REF!</definedName>
    <definedName name="lease_muni" localSheetId="0">#REF!</definedName>
    <definedName name="lease_muni">#REF!</definedName>
    <definedName name="lease_sav">'[1]PART B'!$F$78:$P$78</definedName>
    <definedName name="light_comm" localSheetId="0">#REF!</definedName>
    <definedName name="light_comm">#REF!</definedName>
    <definedName name="light_ind" localSheetId="0">#REF!</definedName>
    <definedName name="light_ind">#REF!</definedName>
    <definedName name="light_inst" localSheetId="0">#REF!</definedName>
    <definedName name="light_inst">#REF!</definedName>
    <definedName name="light_muni" localSheetId="0">#REF!</definedName>
    <definedName name="light_muni">#REF!</definedName>
    <definedName name="light_res" localSheetId="0">#REF!</definedName>
    <definedName name="light_res">#REF!</definedName>
    <definedName name="light_sav">'[1]PART B'!$F$38:$P$38</definedName>
    <definedName name="muni_muni" localSheetId="0">#REF!</definedName>
    <definedName name="muni_muni">#REF!</definedName>
    <definedName name="muni_sav">'[1]PART B'!$F$79:$P$79</definedName>
    <definedName name="N2O_N2">[2]constants!$B$11</definedName>
    <definedName name="N2OGWP">[2]constants!$B$13</definedName>
    <definedName name="operations">'[1]PART C'!$B$29:$L$100</definedName>
    <definedName name="operator_comm" localSheetId="0">#REF!</definedName>
    <definedName name="operator_comm">#REF!</definedName>
    <definedName name="operator_ind" localSheetId="0">#REF!</definedName>
    <definedName name="operator_ind">#REF!</definedName>
    <definedName name="operator_inst" localSheetId="0">#REF!</definedName>
    <definedName name="operator_inst">#REF!</definedName>
    <definedName name="operator_muni" localSheetId="0">#REF!</definedName>
    <definedName name="operator_muni">#REF!</definedName>
    <definedName name="operator_res" localSheetId="0">#REF!</definedName>
    <definedName name="operator_res">#REF!</definedName>
    <definedName name="operator_sav">'[1]PART B'!$F$49:$P$49</definedName>
    <definedName name="perform_threshold" localSheetId="0">#REF!</definedName>
    <definedName name="perform_threshold">#REF!</definedName>
    <definedName name="prices">'[1]AppendixD_Energy Prices'!$A$10:$O$60</definedName>
    <definedName name="regions">[1]AppendixE_Cities!$A$6:$E$32</definedName>
    <definedName name="res_eui">'[1]AppendixC_Residential EUI'!$A$8:$I$59</definedName>
    <definedName name="retro_comm" localSheetId="0">#REF!</definedName>
    <definedName name="retro_comm">#REF!</definedName>
    <definedName name="retro_ind" localSheetId="0">#REF!</definedName>
    <definedName name="retro_ind">#REF!</definedName>
    <definedName name="retro_inst" localSheetId="0">#REF!</definedName>
    <definedName name="retro_inst">#REF!</definedName>
    <definedName name="retro_muni" localSheetId="0">#REF!</definedName>
    <definedName name="retro_muni">#REF!</definedName>
    <definedName name="retro_res" localSheetId="0">#REF!</definedName>
    <definedName name="retro_res">#REF!</definedName>
    <definedName name="retro_sav">'[1]PART B'!$F$17:$P$17</definedName>
    <definedName name="savings">'[1]PART C'!$A$198:$K$210</definedName>
    <definedName name="shares">'[1]PART C'!$A$9:$P$21</definedName>
    <definedName name="size" localSheetId="0">#REF!</definedName>
    <definedName name="size">#REF!</definedName>
    <definedName name="size_list">[1]AppendixE_Cities!$G$6:$G$14</definedName>
    <definedName name="size_table">[1]AppendixE_Cities!$G$6:$H$14</definedName>
    <definedName name="submeter_comm" localSheetId="0">#REF!</definedName>
    <definedName name="submeter_comm">#REF!</definedName>
    <definedName name="submeter_ind" localSheetId="0">#REF!</definedName>
    <definedName name="submeter_ind">#REF!</definedName>
    <definedName name="submeter_muni" localSheetId="0">#REF!</definedName>
    <definedName name="submeter_muni">#REF!</definedName>
    <definedName name="submeter_sav">'[1]PART B'!$F$46:$P$46</definedName>
    <definedName name="underperform" localSheetId="0">#REF!</definedName>
    <definedName name="underperform">#REF!</definedName>
    <definedName name="underperform_list">[1]AppendixE_Cities!$J$6:$J$14</definedName>
    <definedName name="up_comm" localSheetId="0">#REF!</definedName>
    <definedName name="up_comm">#REF!</definedName>
    <definedName name="up_comm_count">[1]AppendixE_Cities!$M$6</definedName>
    <definedName name="up_ind" localSheetId="0">#REF!</definedName>
    <definedName name="up_ind">#REF!</definedName>
    <definedName name="up_ind_count">[1]AppendixE_Cities!$M$10</definedName>
    <definedName name="up_inst" localSheetId="0">#REF!</definedName>
    <definedName name="up_inst">#REF!</definedName>
    <definedName name="up_inst_count">[1]AppendixE_Cities!$M$8</definedName>
    <definedName name="up_muni" localSheetId="0">#REF!</definedName>
    <definedName name="up_muni">#REF!</definedName>
    <definedName name="up_muni_count">[1]AppendixE_Cities!$M$9</definedName>
    <definedName name="up_res" localSheetId="0">#REF!</definedName>
    <definedName name="up_res">#REF!</definedName>
    <definedName name="up_res_count">[1]AppendixE_Cities!$M$7</definedName>
    <definedName name="water_loss_factors">[1]!Table1[#All]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49" i="1" l="1"/>
  <c r="Z49" i="1"/>
  <c r="AA49" i="1"/>
  <c r="AB49" i="1"/>
  <c r="AC49" i="1"/>
  <c r="AD49" i="1"/>
  <c r="AE49" i="1"/>
  <c r="AF49" i="1"/>
  <c r="AG49" i="1"/>
  <c r="AH49" i="1"/>
  <c r="AI49" i="1"/>
  <c r="X49" i="1"/>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AI30" i="4"/>
  <c r="F31" i="4"/>
  <c r="G31" i="4"/>
  <c r="H31" i="4"/>
  <c r="I31" i="4"/>
  <c r="J31" i="4"/>
  <c r="K31" i="4"/>
  <c r="L31" i="4"/>
  <c r="M31" i="4"/>
  <c r="N31" i="4"/>
  <c r="O31" i="4"/>
  <c r="P31" i="4"/>
  <c r="Q31" i="4"/>
  <c r="R31" i="4"/>
  <c r="S31" i="4"/>
  <c r="T31" i="4"/>
  <c r="U31" i="4"/>
  <c r="V31" i="4"/>
  <c r="W31" i="4"/>
  <c r="X31" i="4"/>
  <c r="Y31" i="4"/>
  <c r="Z31" i="4"/>
  <c r="AA31" i="4"/>
  <c r="AB31" i="4"/>
  <c r="AC31" i="4"/>
  <c r="AD31" i="4"/>
  <c r="AE31" i="4"/>
  <c r="AF31" i="4"/>
  <c r="AG31" i="4"/>
  <c r="AH31" i="4"/>
  <c r="AI31" i="4"/>
  <c r="E31" i="4"/>
  <c r="E30"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E29"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E28" i="4"/>
  <c r="D8" i="4" l="1"/>
  <c r="D6" i="4"/>
  <c r="D4" i="4"/>
  <c r="D5" i="4"/>
  <c r="D15" i="4"/>
  <c r="D14" i="4" l="1"/>
  <c r="D45" i="2"/>
  <c r="D43" i="2"/>
  <c r="D66" i="1" l="1"/>
  <c r="D45" i="1"/>
  <c r="D43" i="1"/>
  <c r="D41" i="1"/>
  <c r="AG67" i="4"/>
  <c r="AF67" i="4"/>
  <c r="AE67" i="4"/>
  <c r="AD67" i="4"/>
  <c r="AC67" i="4"/>
  <c r="AB67" i="4"/>
  <c r="AA67" i="4"/>
  <c r="Z67" i="4"/>
  <c r="Y67" i="4"/>
  <c r="X67" i="4"/>
  <c r="W67" i="4"/>
  <c r="V67" i="4"/>
  <c r="U67" i="4"/>
  <c r="T67" i="4"/>
  <c r="S67" i="4"/>
  <c r="R67" i="4"/>
  <c r="Q67" i="4"/>
  <c r="P67" i="4"/>
  <c r="O67" i="4"/>
  <c r="N67" i="4"/>
  <c r="M67" i="4"/>
  <c r="L67" i="4"/>
  <c r="K67" i="4"/>
  <c r="J67" i="4"/>
  <c r="I67" i="4"/>
  <c r="H67" i="4"/>
  <c r="G67" i="4"/>
  <c r="F67" i="4"/>
  <c r="E67" i="4"/>
  <c r="D67" i="4"/>
  <c r="C67" i="4"/>
  <c r="E16" i="4" s="1"/>
  <c r="F16" i="4" s="1"/>
  <c r="G16" i="4" s="1"/>
  <c r="H16" i="4" s="1"/>
  <c r="I16" i="4" s="1"/>
  <c r="J16" i="4" s="1"/>
  <c r="K16" i="4" s="1"/>
  <c r="N57" i="4"/>
  <c r="O57" i="4" s="1"/>
  <c r="B57" i="4"/>
  <c r="E6" i="4" s="1"/>
  <c r="E20" i="4"/>
  <c r="F20" i="4" s="1"/>
  <c r="G20" i="4" s="1"/>
  <c r="H20" i="4" s="1"/>
  <c r="I20" i="4" s="1"/>
  <c r="J20" i="4" s="1"/>
  <c r="K20" i="4" s="1"/>
  <c r="L20" i="4" s="1"/>
  <c r="M20" i="4" s="1"/>
  <c r="N20" i="4" s="1"/>
  <c r="O20" i="4" s="1"/>
  <c r="P20" i="4" s="1"/>
  <c r="Q20" i="4" s="1"/>
  <c r="R20" i="4" s="1"/>
  <c r="S20" i="4" s="1"/>
  <c r="T20" i="4" s="1"/>
  <c r="U20" i="4" s="1"/>
  <c r="V20" i="4" s="1"/>
  <c r="W20" i="4" s="1"/>
  <c r="X20" i="4" s="1"/>
  <c r="Y20" i="4" s="1"/>
  <c r="Z20" i="4" s="1"/>
  <c r="AA20" i="4" s="1"/>
  <c r="AB20" i="4" s="1"/>
  <c r="AC20" i="4" s="1"/>
  <c r="AD20" i="4" s="1"/>
  <c r="AE20" i="4" s="1"/>
  <c r="AF20" i="4" s="1"/>
  <c r="AG20" i="4" s="1"/>
  <c r="AH20" i="4" s="1"/>
  <c r="AI20" i="4" s="1"/>
  <c r="E18" i="4"/>
  <c r="F18" i="4" s="1"/>
  <c r="G18" i="4" s="1"/>
  <c r="H18" i="4" s="1"/>
  <c r="I18" i="4" s="1"/>
  <c r="J18" i="4" s="1"/>
  <c r="K18" i="4" s="1"/>
  <c r="E32" i="4"/>
  <c r="C57" i="4" l="1"/>
  <c r="D57" i="4" s="1"/>
  <c r="E57" i="4" s="1"/>
  <c r="E10" i="4"/>
  <c r="E14" i="4"/>
  <c r="D46" i="1"/>
  <c r="D13" i="4"/>
  <c r="D9" i="4"/>
  <c r="D11" i="4"/>
  <c r="L16" i="4"/>
  <c r="M16" i="4" s="1"/>
  <c r="N16" i="4" s="1"/>
  <c r="O16" i="4" s="1"/>
  <c r="P16" i="4" s="1"/>
  <c r="Q16" i="4" s="1"/>
  <c r="R16" i="4" s="1"/>
  <c r="S16" i="4" s="1"/>
  <c r="T16" i="4" s="1"/>
  <c r="U16" i="4" s="1"/>
  <c r="V16" i="4" s="1"/>
  <c r="W16" i="4" s="1"/>
  <c r="X16" i="4" s="1"/>
  <c r="Y16" i="4" s="1"/>
  <c r="Z16" i="4" s="1"/>
  <c r="AA16" i="4" s="1"/>
  <c r="AB16" i="4" s="1"/>
  <c r="AC16" i="4" s="1"/>
  <c r="AD16" i="4" s="1"/>
  <c r="AE16" i="4" s="1"/>
  <c r="AF16" i="4" s="1"/>
  <c r="AG16" i="4" s="1"/>
  <c r="AH16" i="4" s="1"/>
  <c r="AI16" i="4" s="1"/>
  <c r="M58" i="4"/>
  <c r="F6" i="4"/>
  <c r="L18" i="4"/>
  <c r="M18" i="4" s="1"/>
  <c r="N18" i="4" s="1"/>
  <c r="O18" i="4" s="1"/>
  <c r="P18" i="4" s="1"/>
  <c r="Q18" i="4" s="1"/>
  <c r="R18" i="4" s="1"/>
  <c r="S18" i="4" s="1"/>
  <c r="T18" i="4" s="1"/>
  <c r="U18" i="4" s="1"/>
  <c r="V18" i="4" s="1"/>
  <c r="W18" i="4" s="1"/>
  <c r="X18" i="4" s="1"/>
  <c r="Y18" i="4" s="1"/>
  <c r="Z18" i="4" s="1"/>
  <c r="AA18" i="4" s="1"/>
  <c r="AB18" i="4" s="1"/>
  <c r="AC18" i="4" s="1"/>
  <c r="AD18" i="4" s="1"/>
  <c r="AE18" i="4" s="1"/>
  <c r="AF18" i="4" s="1"/>
  <c r="AG18" i="4" s="1"/>
  <c r="AH18" i="4" s="1"/>
  <c r="AI18" i="4" s="1"/>
  <c r="P57" i="4"/>
  <c r="C58" i="4" l="1"/>
  <c r="D58" i="4"/>
  <c r="D12" i="4"/>
  <c r="D10" i="4"/>
  <c r="O58" i="4"/>
  <c r="G6" i="4"/>
  <c r="F57" i="4"/>
  <c r="E58" i="4"/>
  <c r="N58" i="4"/>
  <c r="D25" i="4"/>
  <c r="E11" i="4"/>
  <c r="P58" i="4"/>
  <c r="Q57" i="4"/>
  <c r="D23" i="4"/>
  <c r="E9" i="4"/>
  <c r="D27" i="4"/>
  <c r="E13" i="4"/>
  <c r="D32" i="4" l="1"/>
  <c r="D60" i="1"/>
  <c r="H6" i="4"/>
  <c r="F11" i="4"/>
  <c r="F13" i="4"/>
  <c r="D24" i="4"/>
  <c r="F9" i="4"/>
  <c r="D22" i="4"/>
  <c r="E8" i="4"/>
  <c r="F8" i="4" s="1"/>
  <c r="R57" i="4"/>
  <c r="Q58" i="4"/>
  <c r="F58" i="4"/>
  <c r="G57" i="4"/>
  <c r="D58" i="1"/>
  <c r="D26" i="4"/>
  <c r="D44" i="1" s="1"/>
  <c r="E12" i="4"/>
  <c r="D42" i="1" l="1"/>
  <c r="D56" i="1"/>
  <c r="D40" i="1"/>
  <c r="G13" i="4"/>
  <c r="G9" i="4"/>
  <c r="E58" i="1"/>
  <c r="F12" i="4"/>
  <c r="G58" i="4"/>
  <c r="H57" i="4"/>
  <c r="F10" i="4"/>
  <c r="G11" i="4"/>
  <c r="S57" i="4"/>
  <c r="R58" i="4"/>
  <c r="I6" i="4"/>
  <c r="E60" i="1" l="1"/>
  <c r="D57" i="1"/>
  <c r="J6" i="4"/>
  <c r="F58" i="1"/>
  <c r="G12" i="4"/>
  <c r="H9" i="4"/>
  <c r="G10" i="4"/>
  <c r="H13" i="4"/>
  <c r="H11" i="4"/>
  <c r="G8" i="4"/>
  <c r="T57" i="4"/>
  <c r="S58" i="4"/>
  <c r="H58" i="4"/>
  <c r="I57" i="4"/>
  <c r="F32" i="4" l="1"/>
  <c r="F60" i="1"/>
  <c r="D35" i="4"/>
  <c r="E33" i="4"/>
  <c r="E57" i="1"/>
  <c r="E34" i="4"/>
  <c r="E56" i="1"/>
  <c r="J57" i="4"/>
  <c r="I58" i="4"/>
  <c r="H10" i="4"/>
  <c r="G58" i="1"/>
  <c r="H12" i="4"/>
  <c r="I13" i="4"/>
  <c r="H8" i="4"/>
  <c r="I9" i="4"/>
  <c r="U57" i="4"/>
  <c r="T58" i="4"/>
  <c r="I11" i="4"/>
  <c r="K6" i="4"/>
  <c r="E59" i="1" l="1"/>
  <c r="E35" i="4"/>
  <c r="G32" i="4"/>
  <c r="G60" i="1"/>
  <c r="F33" i="4"/>
  <c r="F57" i="1"/>
  <c r="F34" i="4"/>
  <c r="F56" i="1"/>
  <c r="F59" i="1" s="1"/>
  <c r="L6" i="4"/>
  <c r="J9" i="4"/>
  <c r="I10" i="4"/>
  <c r="I8" i="4"/>
  <c r="J11" i="4"/>
  <c r="K57" i="4"/>
  <c r="J58" i="4"/>
  <c r="J13" i="4"/>
  <c r="I12" i="4"/>
  <c r="H58" i="1"/>
  <c r="V57" i="4"/>
  <c r="U58" i="4"/>
  <c r="H32" i="4" l="1"/>
  <c r="H60" i="1"/>
  <c r="F35" i="4"/>
  <c r="G33" i="4"/>
  <c r="G57" i="1"/>
  <c r="G34" i="4"/>
  <c r="G56" i="1"/>
  <c r="H56" i="1"/>
  <c r="J8" i="4"/>
  <c r="J10" i="4"/>
  <c r="K9" i="4"/>
  <c r="K13" i="4"/>
  <c r="W57" i="4"/>
  <c r="V58" i="4"/>
  <c r="L57" i="4"/>
  <c r="L58" i="4" s="1"/>
  <c r="K58" i="4"/>
  <c r="K11" i="4"/>
  <c r="I58" i="1"/>
  <c r="J12" i="4"/>
  <c r="M6" i="4"/>
  <c r="I32" i="4" l="1"/>
  <c r="I60" i="1"/>
  <c r="G59" i="1"/>
  <c r="G35" i="4"/>
  <c r="H33" i="4"/>
  <c r="H57" i="1"/>
  <c r="H59" i="1" s="1"/>
  <c r="H34" i="4"/>
  <c r="N6" i="4"/>
  <c r="J58" i="1"/>
  <c r="K12" i="4"/>
  <c r="W58" i="4"/>
  <c r="X57" i="4"/>
  <c r="L13" i="4"/>
  <c r="K10" i="4"/>
  <c r="L11" i="4"/>
  <c r="K8" i="4"/>
  <c r="L9" i="4"/>
  <c r="J32" i="4" l="1"/>
  <c r="J60" i="1"/>
  <c r="H35" i="4"/>
  <c r="I33" i="4"/>
  <c r="I57" i="1"/>
  <c r="I34" i="4"/>
  <c r="I56" i="1"/>
  <c r="M11" i="4"/>
  <c r="K58" i="1"/>
  <c r="L12" i="4"/>
  <c r="L10" i="4"/>
  <c r="M9" i="4"/>
  <c r="M13" i="4"/>
  <c r="L8" i="4"/>
  <c r="X58" i="4"/>
  <c r="Y57" i="4"/>
  <c r="O6" i="4"/>
  <c r="I59" i="1" l="1"/>
  <c r="K32" i="4"/>
  <c r="K60" i="1"/>
  <c r="I35" i="4"/>
  <c r="J33" i="4"/>
  <c r="J57" i="1"/>
  <c r="J34" i="4"/>
  <c r="J56" i="1"/>
  <c r="K56" i="1"/>
  <c r="P6" i="4"/>
  <c r="N13" i="4"/>
  <c r="L58" i="1"/>
  <c r="M12" i="4"/>
  <c r="M10" i="4"/>
  <c r="Z57" i="4"/>
  <c r="Y58" i="4"/>
  <c r="N9" i="4"/>
  <c r="N11" i="4"/>
  <c r="M8" i="4"/>
  <c r="L32" i="4" l="1"/>
  <c r="L60" i="1"/>
  <c r="K33" i="4"/>
  <c r="K57" i="1"/>
  <c r="K59" i="1" s="1"/>
  <c r="J59" i="1"/>
  <c r="J35" i="4"/>
  <c r="K34" i="4"/>
  <c r="O11" i="4"/>
  <c r="O13" i="4"/>
  <c r="AA57" i="4"/>
  <c r="Z58" i="4"/>
  <c r="N8" i="4"/>
  <c r="N10" i="4"/>
  <c r="M58" i="1"/>
  <c r="N12" i="4"/>
  <c r="Q6" i="4"/>
  <c r="O9" i="4"/>
  <c r="M32" i="4" l="1"/>
  <c r="M60" i="1"/>
  <c r="L33" i="4"/>
  <c r="L57" i="1"/>
  <c r="K35" i="4"/>
  <c r="M56" i="1"/>
  <c r="L34" i="4"/>
  <c r="L35" i="4" s="1"/>
  <c r="L56" i="1"/>
  <c r="AB57" i="4"/>
  <c r="AA58" i="4"/>
  <c r="O8" i="4"/>
  <c r="P9" i="4"/>
  <c r="O10" i="4"/>
  <c r="P13" i="4"/>
  <c r="R6" i="4"/>
  <c r="N58" i="1"/>
  <c r="O12" i="4"/>
  <c r="P11" i="4"/>
  <c r="N32" i="4" l="1"/>
  <c r="N60" i="1"/>
  <c r="L59" i="1"/>
  <c r="M33" i="4"/>
  <c r="M57" i="1"/>
  <c r="M59" i="1" s="1"/>
  <c r="M34" i="4"/>
  <c r="M35" i="4" s="1"/>
  <c r="Q11" i="4"/>
  <c r="O58" i="1"/>
  <c r="P12" i="4"/>
  <c r="P10" i="4"/>
  <c r="P8" i="4"/>
  <c r="S6" i="4"/>
  <c r="Q9" i="4"/>
  <c r="AC57" i="4"/>
  <c r="AB58" i="4"/>
  <c r="Q13" i="4"/>
  <c r="O32" i="4" l="1"/>
  <c r="O60" i="1"/>
  <c r="N33" i="4"/>
  <c r="N57" i="1"/>
  <c r="N34" i="4"/>
  <c r="N56" i="1"/>
  <c r="AD57" i="4"/>
  <c r="AC58" i="4"/>
  <c r="T6" i="4"/>
  <c r="Q10" i="4"/>
  <c r="P58" i="1"/>
  <c r="Q12" i="4"/>
  <c r="Q8" i="4"/>
  <c r="R13" i="4"/>
  <c r="R9" i="4"/>
  <c r="R11" i="4"/>
  <c r="P32" i="4" l="1"/>
  <c r="P60" i="1"/>
  <c r="N59" i="1"/>
  <c r="N35" i="4"/>
  <c r="O33" i="4"/>
  <c r="O57" i="1"/>
  <c r="O34" i="4"/>
  <c r="O56" i="1"/>
  <c r="U6" i="4"/>
  <c r="Q58" i="1"/>
  <c r="R12" i="4"/>
  <c r="S11" i="4"/>
  <c r="R10" i="4"/>
  <c r="R8" i="4"/>
  <c r="S9" i="4"/>
  <c r="S13" i="4"/>
  <c r="AE57" i="4"/>
  <c r="AD58" i="4"/>
  <c r="Q32" i="4" l="1"/>
  <c r="Q60" i="1"/>
  <c r="O59" i="1"/>
  <c r="O35" i="4"/>
  <c r="P33" i="4"/>
  <c r="P57" i="1"/>
  <c r="Q56" i="1"/>
  <c r="P34" i="4"/>
  <c r="P56" i="1"/>
  <c r="T9" i="4"/>
  <c r="T11" i="4"/>
  <c r="S8" i="4"/>
  <c r="R58" i="1"/>
  <c r="S12" i="4"/>
  <c r="AE58" i="4"/>
  <c r="AF57" i="4"/>
  <c r="T13" i="4"/>
  <c r="S10" i="4"/>
  <c r="V6" i="4"/>
  <c r="R32" i="4" l="1"/>
  <c r="R60" i="1"/>
  <c r="P59" i="1"/>
  <c r="P35" i="4"/>
  <c r="Q34" i="4"/>
  <c r="Q33" i="4"/>
  <c r="Q57" i="1"/>
  <c r="Q59" i="1" s="1"/>
  <c r="R56" i="1"/>
  <c r="W6" i="4"/>
  <c r="T8" i="4"/>
  <c r="T10" i="4"/>
  <c r="U11" i="4"/>
  <c r="AF58" i="4"/>
  <c r="AG57" i="4"/>
  <c r="AG58" i="4" s="1"/>
  <c r="U13" i="4"/>
  <c r="U9" i="4"/>
  <c r="S58" i="1"/>
  <c r="T12" i="4"/>
  <c r="S32" i="4" l="1"/>
  <c r="S60" i="1"/>
  <c r="Q35" i="4"/>
  <c r="R33" i="4"/>
  <c r="R57" i="1"/>
  <c r="R59" i="1" s="1"/>
  <c r="R34" i="4"/>
  <c r="R35" i="4" s="1"/>
  <c r="X6" i="4"/>
  <c r="V13" i="4"/>
  <c r="T58" i="1"/>
  <c r="U12" i="4"/>
  <c r="U10" i="4"/>
  <c r="U8" i="4"/>
  <c r="V9" i="4"/>
  <c r="V11" i="4"/>
  <c r="T32" i="4" l="1"/>
  <c r="T60" i="1"/>
  <c r="S33" i="4"/>
  <c r="S57" i="1"/>
  <c r="T56" i="1"/>
  <c r="S34" i="4"/>
  <c r="S56" i="1"/>
  <c r="W13" i="4"/>
  <c r="W11" i="4"/>
  <c r="V10" i="4"/>
  <c r="Y6" i="4"/>
  <c r="V8" i="4"/>
  <c r="W9" i="4"/>
  <c r="U58" i="1"/>
  <c r="V12" i="4"/>
  <c r="T34" i="4" l="1"/>
  <c r="U32" i="4"/>
  <c r="U60" i="1"/>
  <c r="S59" i="1"/>
  <c r="S35" i="4"/>
  <c r="T33" i="4"/>
  <c r="T35" i="4" s="1"/>
  <c r="T57" i="1"/>
  <c r="T59" i="1" s="1"/>
  <c r="X11" i="4"/>
  <c r="X13" i="4"/>
  <c r="V58" i="1"/>
  <c r="W12" i="4"/>
  <c r="W8" i="4"/>
  <c r="Z6" i="4"/>
  <c r="X9" i="4"/>
  <c r="W10" i="4"/>
  <c r="V32" i="4" l="1"/>
  <c r="V60" i="1"/>
  <c r="U33" i="4"/>
  <c r="U57" i="1"/>
  <c r="U34" i="4"/>
  <c r="U35" i="4" s="1"/>
  <c r="U56" i="1"/>
  <c r="U59" i="1" s="1"/>
  <c r="AA6" i="4"/>
  <c r="Y13" i="4"/>
  <c r="X10" i="4"/>
  <c r="X8" i="4"/>
  <c r="Y11" i="4"/>
  <c r="Y9" i="4"/>
  <c r="W58" i="1"/>
  <c r="X12" i="4"/>
  <c r="W32" i="4" l="1"/>
  <c r="W60" i="1"/>
  <c r="V33" i="4"/>
  <c r="V57" i="1"/>
  <c r="V34" i="4"/>
  <c r="V56" i="1"/>
  <c r="Y8" i="4"/>
  <c r="AB6" i="4"/>
  <c r="Y10" i="4"/>
  <c r="Y12" i="4"/>
  <c r="X58" i="1"/>
  <c r="X32" i="4" l="1"/>
  <c r="X60" i="1"/>
  <c r="V59" i="1"/>
  <c r="V35" i="4"/>
  <c r="W33" i="4"/>
  <c r="W57" i="1"/>
  <c r="W34" i="4"/>
  <c r="W56" i="1"/>
  <c r="X56" i="1"/>
  <c r="Y58" i="1"/>
  <c r="Z12" i="4"/>
  <c r="AC6" i="4"/>
  <c r="Z10" i="4"/>
  <c r="Z8" i="4"/>
  <c r="W59" i="1" l="1"/>
  <c r="Y32" i="4"/>
  <c r="Y60" i="1"/>
  <c r="X34" i="4"/>
  <c r="W35" i="4"/>
  <c r="X33" i="4"/>
  <c r="X57" i="1"/>
  <c r="X59" i="1" s="1"/>
  <c r="AA10" i="4"/>
  <c r="AA8" i="4"/>
  <c r="AD6" i="4"/>
  <c r="Z58" i="1"/>
  <c r="AA12" i="4"/>
  <c r="Z32" i="4" l="1"/>
  <c r="Z60" i="1"/>
  <c r="X35" i="4"/>
  <c r="Y33" i="4"/>
  <c r="Y57" i="1"/>
  <c r="Y34" i="4"/>
  <c r="Y35" i="4" s="1"/>
  <c r="Y56" i="1"/>
  <c r="Y59" i="1" s="1"/>
  <c r="Z56" i="1"/>
  <c r="AA58" i="1"/>
  <c r="AB12" i="4"/>
  <c r="AB10" i="4"/>
  <c r="AE6" i="4"/>
  <c r="AB8" i="4"/>
  <c r="AA32" i="4" l="1"/>
  <c r="AA60" i="1"/>
  <c r="Z33" i="4"/>
  <c r="Z57" i="1"/>
  <c r="Z59" i="1" s="1"/>
  <c r="Z34" i="4"/>
  <c r="AC10" i="4"/>
  <c r="AB58" i="1"/>
  <c r="AC12" i="4"/>
  <c r="AF6" i="4"/>
  <c r="AC8" i="4"/>
  <c r="AB32" i="4" l="1"/>
  <c r="AB60" i="1"/>
  <c r="Z35" i="4"/>
  <c r="AA33" i="4"/>
  <c r="AA57" i="1"/>
  <c r="AA34" i="4"/>
  <c r="AA56" i="1"/>
  <c r="AA59" i="1" s="1"/>
  <c r="AC58" i="1"/>
  <c r="AD12" i="4"/>
  <c r="AG6" i="4"/>
  <c r="AD10" i="4"/>
  <c r="AD8" i="4"/>
  <c r="AC32" i="4" l="1"/>
  <c r="AC60" i="1"/>
  <c r="AA35" i="4"/>
  <c r="AB33" i="4"/>
  <c r="AB57" i="1"/>
  <c r="AB34" i="4"/>
  <c r="AB35" i="4" s="1"/>
  <c r="AB56" i="1"/>
  <c r="AB59" i="1" s="1"/>
  <c r="AD58" i="1"/>
  <c r="AE12" i="4"/>
  <c r="AE8" i="4"/>
  <c r="AE10" i="4"/>
  <c r="AH6" i="4"/>
  <c r="AD32" i="4" l="1"/>
  <c r="AD60" i="1"/>
  <c r="AC33" i="4"/>
  <c r="AC57" i="1"/>
  <c r="AC34" i="4"/>
  <c r="AC35" i="4" s="1"/>
  <c r="AC56" i="1"/>
  <c r="AC59" i="1" s="1"/>
  <c r="AI6" i="4"/>
  <c r="AF8" i="4"/>
  <c r="AE58" i="1"/>
  <c r="AF12" i="4"/>
  <c r="AF10" i="4"/>
  <c r="AE32" i="4" l="1"/>
  <c r="AE60" i="1"/>
  <c r="AD33" i="4"/>
  <c r="AD57" i="1"/>
  <c r="AD34" i="4"/>
  <c r="AD56" i="1"/>
  <c r="AG12" i="4"/>
  <c r="AF58" i="1"/>
  <c r="AG8" i="4"/>
  <c r="AG10" i="4"/>
  <c r="AF32" i="4" l="1"/>
  <c r="AF60" i="1"/>
  <c r="AD59" i="1"/>
  <c r="AD35" i="4"/>
  <c r="AE33" i="4"/>
  <c r="AE57" i="1"/>
  <c r="AE34" i="4"/>
  <c r="AE56" i="1"/>
  <c r="AH10" i="4"/>
  <c r="AH8" i="4"/>
  <c r="AG58" i="1"/>
  <c r="AH12" i="4"/>
  <c r="AE35" i="4" l="1"/>
  <c r="AG32" i="4"/>
  <c r="AG60" i="1"/>
  <c r="AE59" i="1"/>
  <c r="AF33" i="4"/>
  <c r="AF57" i="1"/>
  <c r="AF34" i="4"/>
  <c r="AF35" i="4" s="1"/>
  <c r="AF56" i="1"/>
  <c r="AI10" i="4"/>
  <c r="AI8" i="4"/>
  <c r="AH58" i="1"/>
  <c r="AI12" i="4"/>
  <c r="AH32" i="4" l="1"/>
  <c r="AH60" i="1"/>
  <c r="AF59" i="1"/>
  <c r="AG33" i="4"/>
  <c r="AG57" i="1"/>
  <c r="AI56" i="1"/>
  <c r="AG34" i="4"/>
  <c r="AG56" i="1"/>
  <c r="AI58" i="1"/>
  <c r="AI32" i="4" l="1"/>
  <c r="AI60" i="1"/>
  <c r="AG59" i="1"/>
  <c r="AI34" i="4"/>
  <c r="AH33" i="4"/>
  <c r="AH57" i="1"/>
  <c r="AG35" i="4"/>
  <c r="AI33" i="4"/>
  <c r="AI57" i="1"/>
  <c r="AI59" i="1" s="1"/>
  <c r="AH34" i="4"/>
  <c r="AH56" i="1"/>
  <c r="AH35" i="4" l="1"/>
  <c r="AI35" i="4"/>
  <c r="AH59" i="1"/>
  <c r="D31" i="2" l="1"/>
  <c r="I31" i="2"/>
  <c r="J31" i="2"/>
  <c r="K31" i="2"/>
  <c r="L31" i="2"/>
  <c r="M31" i="2"/>
  <c r="N31" i="2"/>
  <c r="O31" i="2"/>
  <c r="P31" i="2"/>
  <c r="Q31" i="2"/>
  <c r="R31" i="2"/>
  <c r="D33" i="2" l="1"/>
  <c r="J34" i="2"/>
  <c r="E31" i="2"/>
  <c r="E34" i="2" s="1"/>
  <c r="F28" i="2"/>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8" i="2"/>
  <c r="AI28" i="2"/>
  <c r="E28" i="2"/>
  <c r="F31" i="2" l="1"/>
  <c r="G31" i="2" s="1"/>
  <c r="H31" i="2" s="1"/>
  <c r="H34" i="2" s="1"/>
  <c r="F34" i="2" l="1"/>
  <c r="G34" i="2"/>
  <c r="I34" i="2"/>
  <c r="F40" i="2" l="1"/>
  <c r="F27" i="2"/>
  <c r="G27" i="2"/>
  <c r="H27" i="2"/>
  <c r="I27" i="2"/>
  <c r="J27" i="2"/>
  <c r="K27" i="2"/>
  <c r="L27" i="2"/>
  <c r="M27" i="2"/>
  <c r="N27" i="2"/>
  <c r="O27" i="2"/>
  <c r="P27" i="2"/>
  <c r="Q27" i="2"/>
  <c r="R27" i="2"/>
  <c r="S27" i="2"/>
  <c r="T27" i="2"/>
  <c r="U27" i="2"/>
  <c r="V27" i="2"/>
  <c r="W27" i="2"/>
  <c r="X27" i="2"/>
  <c r="Y27" i="2"/>
  <c r="Z27" i="2"/>
  <c r="AA27" i="2"/>
  <c r="AB27" i="2"/>
  <c r="AC27" i="2"/>
  <c r="AD27" i="2"/>
  <c r="AE27" i="2"/>
  <c r="AF27" i="2"/>
  <c r="AG27" i="2"/>
  <c r="AH27" i="2"/>
  <c r="AI27" i="2"/>
  <c r="E27" i="2"/>
  <c r="D54" i="1"/>
  <c r="E33" i="2"/>
  <c r="F33" i="2"/>
  <c r="G33" i="2"/>
  <c r="H33" i="2"/>
  <c r="I33" i="2"/>
  <c r="J33" i="2"/>
  <c r="K33" i="2"/>
  <c r="L33" i="2"/>
  <c r="M33" i="2"/>
  <c r="N33" i="2"/>
  <c r="N36" i="2" s="1"/>
  <c r="O33" i="2"/>
  <c r="R33" i="2"/>
  <c r="S33" i="2"/>
  <c r="T33" i="2"/>
  <c r="U33" i="2"/>
  <c r="V33" i="2"/>
  <c r="W33" i="2"/>
  <c r="X33" i="2"/>
  <c r="Y33" i="2"/>
  <c r="Z33" i="2"/>
  <c r="AA33" i="2"/>
  <c r="AB33" i="2"/>
  <c r="AC33" i="2"/>
  <c r="AW33" i="2"/>
  <c r="AD32" i="2"/>
  <c r="AE32" i="2" s="1"/>
  <c r="Q32" i="2"/>
  <c r="Q33" i="2" s="1"/>
  <c r="P32" i="2"/>
  <c r="P33" i="2" s="1"/>
  <c r="P36" i="2" s="1"/>
  <c r="F36" i="2" l="1"/>
  <c r="Z37" i="2"/>
  <c r="E50" i="1"/>
  <c r="F50" i="1" s="1"/>
  <c r="G50" i="1" s="1"/>
  <c r="H50" i="1" s="1"/>
  <c r="I50" i="1" s="1"/>
  <c r="J50" i="1" s="1"/>
  <c r="K50" i="1" s="1"/>
  <c r="L50" i="1" s="1"/>
  <c r="M50" i="1" s="1"/>
  <c r="N50" i="1" s="1"/>
  <c r="O50" i="1" s="1"/>
  <c r="P50" i="1" s="1"/>
  <c r="Q50" i="1" s="1"/>
  <c r="R50" i="1" s="1"/>
  <c r="S50" i="1" s="1"/>
  <c r="T50" i="1" s="1"/>
  <c r="U50" i="1" s="1"/>
  <c r="V50" i="1" s="1"/>
  <c r="W50" i="1" s="1"/>
  <c r="X50" i="1" s="1"/>
  <c r="Y50" i="1" s="1"/>
  <c r="Z50" i="1" s="1"/>
  <c r="AA50" i="1" s="1"/>
  <c r="AB50" i="1" s="1"/>
  <c r="AC50" i="1" s="1"/>
  <c r="AD50" i="1" s="1"/>
  <c r="AE50" i="1" s="1"/>
  <c r="AF50" i="1" s="1"/>
  <c r="AG50" i="1" s="1"/>
  <c r="AH50" i="1" s="1"/>
  <c r="AI50" i="1" s="1"/>
  <c r="E49" i="1"/>
  <c r="F49" i="1" s="1"/>
  <c r="G49" i="1" s="1"/>
  <c r="H49" i="1" s="1"/>
  <c r="I49" i="1" s="1"/>
  <c r="J49" i="1" s="1"/>
  <c r="K49" i="1" s="1"/>
  <c r="L49" i="1" s="1"/>
  <c r="M49" i="1" s="1"/>
  <c r="N49" i="1" s="1"/>
  <c r="O49" i="1" s="1"/>
  <c r="P49" i="1" s="1"/>
  <c r="Q49" i="1" s="1"/>
  <c r="R49" i="1" s="1"/>
  <c r="S49" i="1" s="1"/>
  <c r="T49" i="1" s="1"/>
  <c r="U49" i="1" s="1"/>
  <c r="V49" i="1" s="1"/>
  <c r="W49" i="1" s="1"/>
  <c r="E66" i="1"/>
  <c r="F66" i="1" s="1"/>
  <c r="G66" i="1" s="1"/>
  <c r="H66" i="1" s="1"/>
  <c r="I66" i="1" s="1"/>
  <c r="J66" i="1" s="1"/>
  <c r="K66" i="1" s="1"/>
  <c r="H36" i="2"/>
  <c r="E65" i="1"/>
  <c r="F65" i="1" s="1"/>
  <c r="G65" i="1" s="1"/>
  <c r="H65" i="1" s="1"/>
  <c r="I65" i="1" s="1"/>
  <c r="J65" i="1" s="1"/>
  <c r="K65" i="1" s="1"/>
  <c r="L65" i="1" s="1"/>
  <c r="M65" i="1" s="1"/>
  <c r="N65" i="1" s="1"/>
  <c r="O65" i="1" s="1"/>
  <c r="P65" i="1" s="1"/>
  <c r="Q65" i="1" s="1"/>
  <c r="R65" i="1" s="1"/>
  <c r="S65" i="1" s="1"/>
  <c r="T65" i="1" s="1"/>
  <c r="U65" i="1" s="1"/>
  <c r="V65" i="1" s="1"/>
  <c r="W65" i="1" s="1"/>
  <c r="X65" i="1" s="1"/>
  <c r="Y65" i="1" s="1"/>
  <c r="Z65" i="1" s="1"/>
  <c r="AA65" i="1" s="1"/>
  <c r="AB65" i="1" s="1"/>
  <c r="AC65" i="1" s="1"/>
  <c r="AD65" i="1" s="1"/>
  <c r="AE65" i="1" s="1"/>
  <c r="AF65" i="1" s="1"/>
  <c r="AG65" i="1" s="1"/>
  <c r="AH65" i="1" s="1"/>
  <c r="AI65" i="1" s="1"/>
  <c r="G40" i="2"/>
  <c r="AC36" i="2"/>
  <c r="X37" i="2"/>
  <c r="W37" i="2"/>
  <c r="M36" i="2"/>
  <c r="E36" i="2"/>
  <c r="S37" i="2"/>
  <c r="K36" i="2"/>
  <c r="X36" i="2"/>
  <c r="J36" i="2"/>
  <c r="W36" i="2"/>
  <c r="I36" i="2"/>
  <c r="O36" i="2"/>
  <c r="G36" i="2"/>
  <c r="Y37" i="2"/>
  <c r="Q36" i="2"/>
  <c r="AW37" i="2"/>
  <c r="V37" i="2"/>
  <c r="U37" i="2"/>
  <c r="L36" i="2"/>
  <c r="T37" i="2"/>
  <c r="AB37" i="2"/>
  <c r="AA37" i="2"/>
  <c r="S36" i="2"/>
  <c r="AF32" i="2"/>
  <c r="AE33" i="2"/>
  <c r="R36" i="2"/>
  <c r="V36" i="2"/>
  <c r="U36" i="2"/>
  <c r="AC37" i="2"/>
  <c r="AD33" i="2"/>
  <c r="AB36" i="2"/>
  <c r="T36" i="2"/>
  <c r="D52" i="1"/>
  <c r="AA36" i="2"/>
  <c r="Z36" i="2"/>
  <c r="Y36" i="2"/>
  <c r="L66" i="1" l="1"/>
  <c r="M66" i="1" s="1"/>
  <c r="N66" i="1" s="1"/>
  <c r="O66" i="1" s="1"/>
  <c r="P66" i="1" s="1"/>
  <c r="Q66" i="1" s="1"/>
  <c r="R66" i="1" s="1"/>
  <c r="S66" i="1" s="1"/>
  <c r="T66" i="1" s="1"/>
  <c r="U66" i="1" s="1"/>
  <c r="V66" i="1" s="1"/>
  <c r="W66" i="1" s="1"/>
  <c r="X66" i="1" s="1"/>
  <c r="Y66" i="1" s="1"/>
  <c r="Z66" i="1" s="1"/>
  <c r="AA66" i="1" s="1"/>
  <c r="AB66" i="1" s="1"/>
  <c r="AC66" i="1" s="1"/>
  <c r="AD66" i="1" s="1"/>
  <c r="AE66" i="1" s="1"/>
  <c r="AF66" i="1" s="1"/>
  <c r="AG66" i="1" s="1"/>
  <c r="AH66" i="1" s="1"/>
  <c r="AI66" i="1" s="1"/>
  <c r="H40" i="2"/>
  <c r="AG32" i="2"/>
  <c r="AF33" i="2"/>
  <c r="AD37" i="2"/>
  <c r="AD36" i="2"/>
  <c r="AE37" i="2"/>
  <c r="AE36" i="2"/>
  <c r="AC31" i="2"/>
  <c r="I40" i="2" l="1"/>
  <c r="AH32" i="2"/>
  <c r="AG33" i="2"/>
  <c r="D51" i="1"/>
  <c r="AW31" i="2"/>
  <c r="AC35" i="2"/>
  <c r="AF37" i="2"/>
  <c r="AF36" i="2"/>
  <c r="S31" i="2"/>
  <c r="AK31" i="2"/>
  <c r="AM31" i="2"/>
  <c r="AE31" i="2"/>
  <c r="AJ31" i="2"/>
  <c r="AH31" i="2"/>
  <c r="AV31" i="2"/>
  <c r="AU31" i="2"/>
  <c r="AD31" i="2"/>
  <c r="AI31" i="2"/>
  <c r="AT31" i="2"/>
  <c r="AP31" i="2"/>
  <c r="AS31" i="2"/>
  <c r="AO31" i="2"/>
  <c r="AG31" i="2"/>
  <c r="AR31" i="2"/>
  <c r="AN31" i="2"/>
  <c r="AF31" i="2"/>
  <c r="AQ31" i="2"/>
  <c r="AL31" i="2"/>
  <c r="J40" i="2" l="1"/>
  <c r="AH34" i="2"/>
  <c r="AH35" i="2"/>
  <c r="AS34" i="2"/>
  <c r="AS35" i="2"/>
  <c r="AL35" i="2"/>
  <c r="AL34" i="2"/>
  <c r="AP34" i="2"/>
  <c r="AP35" i="2"/>
  <c r="AE35" i="2"/>
  <c r="AE34" i="2"/>
  <c r="AW34" i="2"/>
  <c r="AW35" i="2"/>
  <c r="AF34" i="2"/>
  <c r="AF35" i="2"/>
  <c r="AI35" i="2"/>
  <c r="AI34" i="2"/>
  <c r="AK34" i="2"/>
  <c r="AK35" i="2"/>
  <c r="AG34" i="2"/>
  <c r="AG35" i="2"/>
  <c r="AQ35" i="2"/>
  <c r="AQ34" i="2"/>
  <c r="AM35" i="2"/>
  <c r="AM34" i="2"/>
  <c r="AD35" i="2"/>
  <c r="AD34" i="2"/>
  <c r="T31" i="2"/>
  <c r="S35" i="2"/>
  <c r="S34" i="2"/>
  <c r="AG37" i="2"/>
  <c r="AG36" i="2"/>
  <c r="AV34" i="2"/>
  <c r="AV35" i="2"/>
  <c r="AO34" i="2"/>
  <c r="AO35" i="2"/>
  <c r="AJ35" i="2"/>
  <c r="AJ34" i="2"/>
  <c r="AT35" i="2"/>
  <c r="AT34" i="2"/>
  <c r="AN34" i="2"/>
  <c r="AN35" i="2"/>
  <c r="AR35" i="2"/>
  <c r="AR34" i="2"/>
  <c r="AU34" i="2"/>
  <c r="AU35" i="2"/>
  <c r="AI32" i="2"/>
  <c r="AH33" i="2"/>
  <c r="AI22" i="2"/>
  <c r="AH22" i="2"/>
  <c r="AG22" i="2"/>
  <c r="AF22" i="2"/>
  <c r="AE22" i="2"/>
  <c r="AD22" i="2"/>
  <c r="AC22" i="2"/>
  <c r="AB22" i="2"/>
  <c r="AA22" i="2"/>
  <c r="Z22" i="2"/>
  <c r="Y22" i="2"/>
  <c r="X22" i="2"/>
  <c r="W22" i="2"/>
  <c r="V22" i="2"/>
  <c r="U22" i="2"/>
  <c r="T22" i="2"/>
  <c r="S22" i="2"/>
  <c r="R22" i="2"/>
  <c r="Q22" i="2"/>
  <c r="P22" i="2"/>
  <c r="O22" i="2"/>
  <c r="N22" i="2"/>
  <c r="M22" i="2"/>
  <c r="L22" i="2"/>
  <c r="K22" i="2"/>
  <c r="J22" i="2"/>
  <c r="I22" i="2"/>
  <c r="H22" i="2"/>
  <c r="G22" i="2"/>
  <c r="F22" i="2"/>
  <c r="E22" i="2"/>
  <c r="D59" i="1"/>
  <c r="D67" i="1" s="1"/>
  <c r="D77" i="1" l="1"/>
  <c r="K40" i="2"/>
  <c r="L34" i="2"/>
  <c r="N34" i="2"/>
  <c r="K34" i="2"/>
  <c r="AH37" i="2"/>
  <c r="AH36" i="2"/>
  <c r="M34" i="2"/>
  <c r="AJ32" i="2"/>
  <c r="AI33" i="2"/>
  <c r="O34" i="2"/>
  <c r="U31" i="2"/>
  <c r="T35" i="2"/>
  <c r="T34" i="2"/>
  <c r="P34" i="2"/>
  <c r="Q34" i="2"/>
  <c r="R34" i="2"/>
  <c r="E23" i="2"/>
  <c r="E25" i="2" s="1"/>
  <c r="L40" i="2" l="1"/>
  <c r="V31" i="2"/>
  <c r="U34" i="2"/>
  <c r="U35" i="2"/>
  <c r="AI37" i="2"/>
  <c r="AI36" i="2"/>
  <c r="AK32" i="2"/>
  <c r="AJ33" i="2"/>
  <c r="E24" i="2"/>
  <c r="E61" i="1" s="1"/>
  <c r="F23" i="2"/>
  <c r="E62" i="1"/>
  <c r="D75" i="1"/>
  <c r="D71" i="1"/>
  <c r="D74" i="1"/>
  <c r="D70" i="1"/>
  <c r="D73" i="1"/>
  <c r="D76" i="1"/>
  <c r="D72" i="1"/>
  <c r="E38" i="1" l="1"/>
  <c r="E64" i="1"/>
  <c r="E5" i="4"/>
  <c r="E4" i="4"/>
  <c r="F24" i="2"/>
  <c r="F62" i="1" s="1"/>
  <c r="F25" i="2"/>
  <c r="F61" i="1"/>
  <c r="M40" i="2"/>
  <c r="E47" i="1"/>
  <c r="E53" i="1"/>
  <c r="E36" i="1"/>
  <c r="E54" i="1"/>
  <c r="AL32" i="2"/>
  <c r="AK33" i="2"/>
  <c r="AJ37" i="2"/>
  <c r="AJ36" i="2"/>
  <c r="E39" i="1"/>
  <c r="E48" i="1"/>
  <c r="E37" i="1"/>
  <c r="E55" i="1"/>
  <c r="W31" i="2"/>
  <c r="V35" i="2"/>
  <c r="V34" i="2"/>
  <c r="G23" i="2"/>
  <c r="F54" i="1" l="1"/>
  <c r="F55" i="1"/>
  <c r="F39" i="1"/>
  <c r="F38" i="1"/>
  <c r="F36" i="1"/>
  <c r="F48" i="1"/>
  <c r="F64" i="1"/>
  <c r="F53" i="1"/>
  <c r="F63" i="1"/>
  <c r="E63" i="1"/>
  <c r="F4" i="4"/>
  <c r="E43" i="1"/>
  <c r="E41" i="1"/>
  <c r="E45" i="1"/>
  <c r="E24" i="4"/>
  <c r="E40" i="1" s="1"/>
  <c r="E22" i="4"/>
  <c r="E26" i="4"/>
  <c r="F47" i="1"/>
  <c r="F5" i="4"/>
  <c r="E15" i="4"/>
  <c r="E27" i="4"/>
  <c r="E25" i="4"/>
  <c r="E23" i="4"/>
  <c r="H23" i="2"/>
  <c r="H25" i="2" s="1"/>
  <c r="G25" i="2"/>
  <c r="N40" i="2"/>
  <c r="E51" i="1"/>
  <c r="F37" i="1"/>
  <c r="E52" i="1"/>
  <c r="X31" i="2"/>
  <c r="W34" i="2"/>
  <c r="W35" i="2"/>
  <c r="AK37" i="2"/>
  <c r="AK36" i="2"/>
  <c r="AM32" i="2"/>
  <c r="AL33" i="2"/>
  <c r="G24" i="2"/>
  <c r="F51" i="1"/>
  <c r="E44" i="1" l="1"/>
  <c r="G64" i="1"/>
  <c r="E42" i="1"/>
  <c r="E46" i="1"/>
  <c r="H24" i="2"/>
  <c r="I23" i="2"/>
  <c r="I25" i="2" s="1"/>
  <c r="G5" i="4"/>
  <c r="F15" i="4"/>
  <c r="F27" i="4"/>
  <c r="F23" i="4"/>
  <c r="F25" i="4"/>
  <c r="G4" i="4"/>
  <c r="F14" i="4"/>
  <c r="F45" i="1"/>
  <c r="F43" i="1"/>
  <c r="F41" i="1"/>
  <c r="F24" i="4"/>
  <c r="F22" i="4"/>
  <c r="F42" i="1" s="1"/>
  <c r="F26" i="4"/>
  <c r="O40" i="2"/>
  <c r="G53" i="1"/>
  <c r="H53" i="1" s="1"/>
  <c r="G47" i="1"/>
  <c r="H47" i="1" s="1"/>
  <c r="Y31" i="2"/>
  <c r="X34" i="2"/>
  <c r="X35" i="2"/>
  <c r="G54" i="1"/>
  <c r="AL37" i="2"/>
  <c r="AL36" i="2"/>
  <c r="G38" i="1"/>
  <c r="H38" i="1" s="1"/>
  <c r="G61" i="1"/>
  <c r="H61" i="1" s="1"/>
  <c r="G55" i="1"/>
  <c r="H55" i="1" s="1"/>
  <c r="G37" i="1"/>
  <c r="F52" i="1"/>
  <c r="G36" i="1"/>
  <c r="AN32" i="2"/>
  <c r="AM33" i="2"/>
  <c r="G62" i="1"/>
  <c r="H62" i="1" s="1"/>
  <c r="G48" i="1"/>
  <c r="H48" i="1" s="1"/>
  <c r="G39" i="1"/>
  <c r="H39" i="1" s="1"/>
  <c r="I24" i="2"/>
  <c r="J23" i="2" l="1"/>
  <c r="J25" i="2" s="1"/>
  <c r="H36" i="1"/>
  <c r="H54" i="1"/>
  <c r="H64" i="1"/>
  <c r="H63" i="1"/>
  <c r="G63" i="1"/>
  <c r="F40" i="1"/>
  <c r="H5" i="4"/>
  <c r="G15" i="4"/>
  <c r="G23" i="4"/>
  <c r="G27" i="4"/>
  <c r="G25" i="4"/>
  <c r="F46" i="1"/>
  <c r="H4" i="4"/>
  <c r="G14" i="4"/>
  <c r="G45" i="1"/>
  <c r="G43" i="1"/>
  <c r="G41" i="1"/>
  <c r="G24" i="4"/>
  <c r="G26" i="4"/>
  <c r="G22" i="4"/>
  <c r="F44" i="1"/>
  <c r="P40" i="2"/>
  <c r="I39" i="1"/>
  <c r="I48" i="1"/>
  <c r="AO32" i="2"/>
  <c r="AN33" i="2"/>
  <c r="Z31" i="2"/>
  <c r="Y34" i="2"/>
  <c r="Y35" i="2"/>
  <c r="H37" i="1"/>
  <c r="G52" i="1"/>
  <c r="G51" i="1"/>
  <c r="I55" i="1"/>
  <c r="AM37" i="2"/>
  <c r="AM36" i="2"/>
  <c r="J24" i="2"/>
  <c r="I47" i="1"/>
  <c r="I63" i="1"/>
  <c r="I53" i="1"/>
  <c r="I61" i="1"/>
  <c r="I36" i="1"/>
  <c r="H51" i="1"/>
  <c r="I38" i="1"/>
  <c r="I62" i="1"/>
  <c r="I54" i="1"/>
  <c r="K23" i="2"/>
  <c r="K25" i="2" s="1"/>
  <c r="G46" i="1" l="1"/>
  <c r="J39" i="1"/>
  <c r="G44" i="1"/>
  <c r="G42" i="1"/>
  <c r="I64" i="1"/>
  <c r="I4" i="4"/>
  <c r="H14" i="4"/>
  <c r="H41" i="1"/>
  <c r="H45" i="1"/>
  <c r="H43" i="1"/>
  <c r="H24" i="4"/>
  <c r="H22" i="4"/>
  <c r="H26" i="4"/>
  <c r="G40" i="1"/>
  <c r="I5" i="4"/>
  <c r="H15" i="4"/>
  <c r="H23" i="4"/>
  <c r="H25" i="4"/>
  <c r="H27" i="4"/>
  <c r="Q40" i="2"/>
  <c r="I37" i="1"/>
  <c r="H52" i="1"/>
  <c r="AA31" i="2"/>
  <c r="Z34" i="2"/>
  <c r="Z35" i="2"/>
  <c r="J48" i="1"/>
  <c r="AN36" i="2"/>
  <c r="AN37" i="2"/>
  <c r="J55" i="1"/>
  <c r="J47" i="1"/>
  <c r="AP32" i="2"/>
  <c r="AO33" i="2"/>
  <c r="K24" i="2"/>
  <c r="K39" i="1" s="1"/>
  <c r="J36" i="1"/>
  <c r="I51" i="1"/>
  <c r="J62" i="1"/>
  <c r="J53" i="1"/>
  <c r="J63" i="1"/>
  <c r="J54" i="1"/>
  <c r="J38" i="1"/>
  <c r="J61" i="1"/>
  <c r="L23" i="2"/>
  <c r="L25" i="2" s="1"/>
  <c r="H42" i="1" l="1"/>
  <c r="J64" i="1"/>
  <c r="H40" i="1"/>
  <c r="H44" i="1"/>
  <c r="J5" i="4"/>
  <c r="I15" i="4"/>
  <c r="I23" i="4"/>
  <c r="I27" i="4"/>
  <c r="I25" i="4"/>
  <c r="H46" i="1"/>
  <c r="J4" i="4"/>
  <c r="I45" i="1"/>
  <c r="I43" i="1"/>
  <c r="I41" i="1"/>
  <c r="I14" i="4"/>
  <c r="I46" i="1" s="1"/>
  <c r="I24" i="4"/>
  <c r="I26" i="4"/>
  <c r="I22" i="4"/>
  <c r="R40" i="2"/>
  <c r="K48" i="1"/>
  <c r="K47" i="1"/>
  <c r="K55" i="1"/>
  <c r="AO37" i="2"/>
  <c r="AO36" i="2"/>
  <c r="AQ32" i="2"/>
  <c r="AP33" i="2"/>
  <c r="AB31" i="2"/>
  <c r="AA35" i="2"/>
  <c r="AA34" i="2"/>
  <c r="J37" i="1"/>
  <c r="I52" i="1"/>
  <c r="L24" i="2"/>
  <c r="K62" i="1"/>
  <c r="K61" i="1"/>
  <c r="K38" i="1"/>
  <c r="K63" i="1"/>
  <c r="K54" i="1"/>
  <c r="K53" i="1"/>
  <c r="K36" i="1"/>
  <c r="J51" i="1"/>
  <c r="M23" i="2"/>
  <c r="M25" i="2" s="1"/>
  <c r="I44" i="1" l="1"/>
  <c r="I42" i="1"/>
  <c r="K64" i="1"/>
  <c r="K4" i="4"/>
  <c r="J14" i="4"/>
  <c r="J43" i="1"/>
  <c r="J41" i="1"/>
  <c r="J45" i="1"/>
  <c r="J26" i="4"/>
  <c r="J22" i="4"/>
  <c r="J24" i="4"/>
  <c r="K5" i="4"/>
  <c r="J15" i="4"/>
  <c r="J25" i="4"/>
  <c r="J23" i="4"/>
  <c r="J27" i="4"/>
  <c r="I40" i="1"/>
  <c r="S40" i="2"/>
  <c r="L48" i="1"/>
  <c r="L39" i="1"/>
  <c r="AB35" i="2"/>
  <c r="AB34" i="2"/>
  <c r="AC34" i="2"/>
  <c r="L47" i="1"/>
  <c r="AR32" i="2"/>
  <c r="AQ33" i="2"/>
  <c r="AP37" i="2"/>
  <c r="AP36" i="2"/>
  <c r="K37" i="1"/>
  <c r="J52" i="1"/>
  <c r="L55" i="1"/>
  <c r="M24" i="2"/>
  <c r="L53" i="1"/>
  <c r="L62" i="1"/>
  <c r="L63" i="1"/>
  <c r="L38" i="1"/>
  <c r="L36" i="1"/>
  <c r="K51" i="1"/>
  <c r="L54" i="1"/>
  <c r="L61" i="1"/>
  <c r="N23" i="2"/>
  <c r="N25" i="2" s="1"/>
  <c r="J40" i="1" l="1"/>
  <c r="J42" i="1"/>
  <c r="L64" i="1"/>
  <c r="J44" i="1"/>
  <c r="J46" i="1"/>
  <c r="L5" i="4"/>
  <c r="K15" i="4"/>
  <c r="K25" i="4"/>
  <c r="K23" i="4"/>
  <c r="K27" i="4"/>
  <c r="L4" i="4"/>
  <c r="K43" i="1"/>
  <c r="K45" i="1"/>
  <c r="K41" i="1"/>
  <c r="K14" i="4"/>
  <c r="K46" i="1" s="1"/>
  <c r="K26" i="4"/>
  <c r="K24" i="4"/>
  <c r="K22" i="4"/>
  <c r="K42" i="1" s="1"/>
  <c r="T40" i="2"/>
  <c r="M48" i="1"/>
  <c r="M39" i="1"/>
  <c r="M47" i="1"/>
  <c r="M55" i="1"/>
  <c r="AS32" i="2"/>
  <c r="AR33" i="2"/>
  <c r="AQ37" i="2"/>
  <c r="AQ36" i="2"/>
  <c r="L37" i="1"/>
  <c r="K52" i="1"/>
  <c r="N24" i="2"/>
  <c r="M54" i="1"/>
  <c r="M53" i="1"/>
  <c r="M61" i="1"/>
  <c r="M38" i="1"/>
  <c r="M62" i="1"/>
  <c r="M36" i="1"/>
  <c r="L51" i="1"/>
  <c r="M63" i="1"/>
  <c r="O23" i="2"/>
  <c r="O25" i="2" s="1"/>
  <c r="K40" i="1" l="1"/>
  <c r="M64" i="1"/>
  <c r="M4" i="4"/>
  <c r="L14" i="4"/>
  <c r="L43" i="1"/>
  <c r="L45" i="1"/>
  <c r="L41" i="1"/>
  <c r="L24" i="4"/>
  <c r="L40" i="1" s="1"/>
  <c r="L26" i="4"/>
  <c r="L22" i="4"/>
  <c r="K44" i="1"/>
  <c r="M5" i="4"/>
  <c r="L15" i="4"/>
  <c r="L25" i="4"/>
  <c r="L27" i="4"/>
  <c r="L23" i="4"/>
  <c r="U40" i="2"/>
  <c r="N48" i="1"/>
  <c r="N47" i="1"/>
  <c r="N39" i="1"/>
  <c r="M37" i="1"/>
  <c r="L52" i="1"/>
  <c r="AR37" i="2"/>
  <c r="AR36" i="2"/>
  <c r="AT32" i="2"/>
  <c r="AS33" i="2"/>
  <c r="N55" i="1"/>
  <c r="O24" i="2"/>
  <c r="N36" i="1"/>
  <c r="M51" i="1"/>
  <c r="N53" i="1"/>
  <c r="N63" i="1"/>
  <c r="N62" i="1"/>
  <c r="N38" i="1"/>
  <c r="N61" i="1"/>
  <c r="N54" i="1"/>
  <c r="P23" i="2"/>
  <c r="P25" i="2" s="1"/>
  <c r="L42" i="1" l="1"/>
  <c r="L44" i="1"/>
  <c r="N64" i="1"/>
  <c r="N5" i="4"/>
  <c r="M15" i="4"/>
  <c r="M27" i="4"/>
  <c r="M25" i="4"/>
  <c r="M23" i="4"/>
  <c r="L46" i="1"/>
  <c r="N4" i="4"/>
  <c r="M41" i="1"/>
  <c r="M14" i="4"/>
  <c r="M45" i="1"/>
  <c r="M43" i="1"/>
  <c r="M22" i="4"/>
  <c r="M24" i="4"/>
  <c r="M26" i="4"/>
  <c r="O48" i="1"/>
  <c r="V40" i="2"/>
  <c r="AU32" i="2"/>
  <c r="AT33" i="2"/>
  <c r="O39" i="1"/>
  <c r="O47" i="1"/>
  <c r="AS37" i="2"/>
  <c r="AS36" i="2"/>
  <c r="N37" i="1"/>
  <c r="M52" i="1"/>
  <c r="O55" i="1"/>
  <c r="P24" i="2"/>
  <c r="O54" i="1"/>
  <c r="O36" i="1"/>
  <c r="N51" i="1"/>
  <c r="O61" i="1"/>
  <c r="O63" i="1"/>
  <c r="O53" i="1"/>
  <c r="O38" i="1"/>
  <c r="O62" i="1"/>
  <c r="Q23" i="2"/>
  <c r="Q25" i="2" s="1"/>
  <c r="M46" i="1" l="1"/>
  <c r="O64" i="1"/>
  <c r="M44" i="1"/>
  <c r="M40" i="1"/>
  <c r="M42" i="1"/>
  <c r="O4" i="4"/>
  <c r="N14" i="4"/>
  <c r="N45" i="1"/>
  <c r="N43" i="1"/>
  <c r="N41" i="1"/>
  <c r="N22" i="4"/>
  <c r="N26" i="4"/>
  <c r="N24" i="4"/>
  <c r="O5" i="4"/>
  <c r="N15" i="4"/>
  <c r="N25" i="4"/>
  <c r="N27" i="4"/>
  <c r="N23" i="4"/>
  <c r="P47" i="1"/>
  <c r="W40" i="2"/>
  <c r="P48" i="1"/>
  <c r="O37" i="1"/>
  <c r="N52" i="1"/>
  <c r="P39" i="1"/>
  <c r="AT37" i="2"/>
  <c r="AT36" i="2"/>
  <c r="P55" i="1"/>
  <c r="AV32" i="2"/>
  <c r="AV33" i="2" s="1"/>
  <c r="AU33" i="2"/>
  <c r="Q24" i="2"/>
  <c r="P38" i="1"/>
  <c r="P54" i="1"/>
  <c r="P62" i="1"/>
  <c r="P53" i="1"/>
  <c r="P36" i="1"/>
  <c r="O51" i="1"/>
  <c r="P61" i="1"/>
  <c r="R23" i="2"/>
  <c r="R25" i="2" s="1"/>
  <c r="N42" i="1" l="1"/>
  <c r="N44" i="1"/>
  <c r="Q63" i="1"/>
  <c r="P63" i="1"/>
  <c r="P64" i="1"/>
  <c r="N40" i="1"/>
  <c r="N46" i="1"/>
  <c r="P5" i="4"/>
  <c r="O15" i="4"/>
  <c r="O27" i="4"/>
  <c r="O25" i="4"/>
  <c r="O23" i="4"/>
  <c r="P4" i="4"/>
  <c r="O45" i="1"/>
  <c r="O14" i="4"/>
  <c r="O43" i="1"/>
  <c r="O41" i="1"/>
  <c r="O24" i="4"/>
  <c r="O22" i="4"/>
  <c r="O26" i="4"/>
  <c r="O44" i="1" s="1"/>
  <c r="Q48" i="1"/>
  <c r="X40" i="2"/>
  <c r="AV36" i="2"/>
  <c r="AV37" i="2"/>
  <c r="AW36" i="2"/>
  <c r="Q55" i="1"/>
  <c r="Q39" i="1"/>
  <c r="Q47" i="1"/>
  <c r="P37" i="1"/>
  <c r="O52" i="1"/>
  <c r="AU36" i="2"/>
  <c r="AU37" i="2"/>
  <c r="R24" i="2"/>
  <c r="R63" i="1" s="1"/>
  <c r="Q54" i="1"/>
  <c r="Q61" i="1"/>
  <c r="Q38" i="1"/>
  <c r="Q36" i="1"/>
  <c r="P51" i="1"/>
  <c r="Q62" i="1"/>
  <c r="Q53" i="1"/>
  <c r="S23" i="2"/>
  <c r="S25" i="2" s="1"/>
  <c r="Q64" i="1" l="1"/>
  <c r="O40" i="1"/>
  <c r="O42" i="1"/>
  <c r="Q4" i="4"/>
  <c r="P14" i="4"/>
  <c r="P43" i="1"/>
  <c r="P41" i="1"/>
  <c r="P45" i="1"/>
  <c r="P24" i="4"/>
  <c r="P26" i="4"/>
  <c r="P22" i="4"/>
  <c r="Q5" i="4"/>
  <c r="P15" i="4"/>
  <c r="P23" i="4"/>
  <c r="P27" i="4"/>
  <c r="P25" i="4"/>
  <c r="O46" i="1"/>
  <c r="R48" i="1"/>
  <c r="R47" i="1"/>
  <c r="R39" i="1"/>
  <c r="Q37" i="1"/>
  <c r="P52" i="1"/>
  <c r="R55" i="1"/>
  <c r="S24" i="2"/>
  <c r="R62" i="1"/>
  <c r="R38" i="1"/>
  <c r="R61" i="1"/>
  <c r="R36" i="1"/>
  <c r="Q51" i="1"/>
  <c r="R53" i="1"/>
  <c r="R54" i="1"/>
  <c r="T23" i="2"/>
  <c r="T25" i="2" s="1"/>
  <c r="S48" i="1" l="1"/>
  <c r="R64" i="1"/>
  <c r="P46" i="1"/>
  <c r="R5" i="4"/>
  <c r="Q15" i="4"/>
  <c r="Q23" i="4"/>
  <c r="Q25" i="4"/>
  <c r="Q27" i="4"/>
  <c r="R4" i="4"/>
  <c r="Q45" i="1"/>
  <c r="Q43" i="1"/>
  <c r="Q41" i="1"/>
  <c r="Q14" i="4"/>
  <c r="Q46" i="1" s="1"/>
  <c r="Q26" i="4"/>
  <c r="Q22" i="4"/>
  <c r="Q42" i="1" s="1"/>
  <c r="Q24" i="4"/>
  <c r="P42" i="1"/>
  <c r="P44" i="1"/>
  <c r="P40" i="1"/>
  <c r="S63" i="1"/>
  <c r="S47" i="1"/>
  <c r="S39" i="1"/>
  <c r="S55" i="1"/>
  <c r="R37" i="1"/>
  <c r="Q52" i="1"/>
  <c r="T24" i="2"/>
  <c r="S61" i="1"/>
  <c r="S54" i="1"/>
  <c r="S36" i="1"/>
  <c r="R51" i="1"/>
  <c r="S38" i="1"/>
  <c r="S62" i="1"/>
  <c r="S53" i="1"/>
  <c r="U23" i="2"/>
  <c r="U25" i="2" s="1"/>
  <c r="T48" i="1" l="1"/>
  <c r="S64" i="1"/>
  <c r="Q40" i="1"/>
  <c r="S4" i="4"/>
  <c r="R45" i="1"/>
  <c r="R43" i="1"/>
  <c r="R41" i="1"/>
  <c r="R14" i="4"/>
  <c r="R24" i="4"/>
  <c r="R22" i="4"/>
  <c r="R26" i="4"/>
  <c r="Q44" i="1"/>
  <c r="T63" i="1"/>
  <c r="S5" i="4"/>
  <c r="R15" i="4"/>
  <c r="R25" i="4"/>
  <c r="R27" i="4"/>
  <c r="R23" i="4"/>
  <c r="T47" i="1"/>
  <c r="T55" i="1"/>
  <c r="S37" i="1"/>
  <c r="R52" i="1"/>
  <c r="T39" i="1"/>
  <c r="U24" i="2"/>
  <c r="T38" i="1"/>
  <c r="T36" i="1"/>
  <c r="S51" i="1"/>
  <c r="T54" i="1"/>
  <c r="T61" i="1"/>
  <c r="T53" i="1"/>
  <c r="T62" i="1"/>
  <c r="V23" i="2"/>
  <c r="V25" i="2" s="1"/>
  <c r="R44" i="1" l="1"/>
  <c r="R40" i="1"/>
  <c r="T64" i="1"/>
  <c r="R42" i="1"/>
  <c r="R46" i="1"/>
  <c r="T5" i="4"/>
  <c r="S15" i="4"/>
  <c r="S25" i="4"/>
  <c r="S27" i="4"/>
  <c r="S23" i="4"/>
  <c r="T4" i="4"/>
  <c r="S41" i="1"/>
  <c r="S14" i="4"/>
  <c r="S45" i="1"/>
  <c r="S43" i="1"/>
  <c r="S26" i="4"/>
  <c r="S44" i="1" s="1"/>
  <c r="S24" i="4"/>
  <c r="S22" i="4"/>
  <c r="S42" i="1" s="1"/>
  <c r="U55" i="1"/>
  <c r="U47" i="1"/>
  <c r="U48" i="1"/>
  <c r="U39" i="1"/>
  <c r="T37" i="1"/>
  <c r="S52" i="1"/>
  <c r="V24" i="2"/>
  <c r="U62" i="1"/>
  <c r="U53" i="1"/>
  <c r="U36" i="1"/>
  <c r="T51" i="1"/>
  <c r="U38" i="1"/>
  <c r="U61" i="1"/>
  <c r="U54" i="1"/>
  <c r="W23" i="2"/>
  <c r="W25" i="2" s="1"/>
  <c r="S46" i="1" l="1"/>
  <c r="V63" i="1"/>
  <c r="U63" i="1"/>
  <c r="S40" i="1"/>
  <c r="U64" i="1"/>
  <c r="U5" i="4"/>
  <c r="T15" i="4"/>
  <c r="T27" i="4"/>
  <c r="T23" i="4"/>
  <c r="T25" i="4"/>
  <c r="U4" i="4"/>
  <c r="T41" i="1"/>
  <c r="T14" i="4"/>
  <c r="T43" i="1"/>
  <c r="T45" i="1"/>
  <c r="T26" i="4"/>
  <c r="T44" i="1" s="1"/>
  <c r="T24" i="4"/>
  <c r="T22" i="4"/>
  <c r="T42" i="1" s="1"/>
  <c r="V55" i="1"/>
  <c r="V47" i="1"/>
  <c r="U37" i="1"/>
  <c r="T52" i="1"/>
  <c r="V53" i="1"/>
  <c r="V39" i="1"/>
  <c r="V48" i="1"/>
  <c r="W24" i="2"/>
  <c r="W63" i="1" s="1"/>
  <c r="V54" i="1"/>
  <c r="V61" i="1"/>
  <c r="V38" i="1"/>
  <c r="V36" i="1"/>
  <c r="U51" i="1"/>
  <c r="V62" i="1"/>
  <c r="X23" i="2"/>
  <c r="X25" i="2" s="1"/>
  <c r="X63" i="1" s="1"/>
  <c r="T46" i="1" l="1"/>
  <c r="V64" i="1"/>
  <c r="T40" i="1"/>
  <c r="V4" i="4"/>
  <c r="U45" i="1"/>
  <c r="U43" i="1"/>
  <c r="U14" i="4"/>
  <c r="U46" i="1" s="1"/>
  <c r="U41" i="1"/>
  <c r="U24" i="4"/>
  <c r="U26" i="4"/>
  <c r="U22" i="4"/>
  <c r="V5" i="4"/>
  <c r="U15" i="4"/>
  <c r="U23" i="4"/>
  <c r="U27" i="4"/>
  <c r="U25" i="4"/>
  <c r="W55" i="1"/>
  <c r="W47" i="1"/>
  <c r="W48" i="1"/>
  <c r="W39" i="1"/>
  <c r="V37" i="1"/>
  <c r="U52" i="1"/>
  <c r="X24" i="2"/>
  <c r="W61" i="1"/>
  <c r="W54" i="1"/>
  <c r="W38" i="1"/>
  <c r="W62" i="1"/>
  <c r="W36" i="1"/>
  <c r="V51" i="1"/>
  <c r="W53" i="1"/>
  <c r="Y23" i="2"/>
  <c r="Y25" i="2" s="1"/>
  <c r="W64" i="1" l="1"/>
  <c r="U40" i="1"/>
  <c r="U42" i="1"/>
  <c r="W5" i="4"/>
  <c r="V15" i="4"/>
  <c r="V25" i="4"/>
  <c r="V27" i="4"/>
  <c r="V23" i="4"/>
  <c r="W4" i="4"/>
  <c r="V43" i="1"/>
  <c r="V45" i="1"/>
  <c r="V41" i="1"/>
  <c r="V14" i="4"/>
  <c r="V46" i="1" s="1"/>
  <c r="V26" i="4"/>
  <c r="V24" i="4"/>
  <c r="V40" i="1" s="1"/>
  <c r="V22" i="4"/>
  <c r="V42" i="1" s="1"/>
  <c r="U44" i="1"/>
  <c r="X48" i="1"/>
  <c r="X47" i="1"/>
  <c r="W37" i="1"/>
  <c r="V52" i="1"/>
  <c r="X55" i="1"/>
  <c r="X39" i="1"/>
  <c r="Y24" i="2"/>
  <c r="Y63" i="1" s="1"/>
  <c r="X54" i="1"/>
  <c r="X36" i="1"/>
  <c r="W51" i="1"/>
  <c r="X61" i="1"/>
  <c r="X38" i="1"/>
  <c r="X53" i="1"/>
  <c r="X62" i="1"/>
  <c r="Z23" i="2"/>
  <c r="Z25" i="2" s="1"/>
  <c r="X64" i="1" l="1"/>
  <c r="V44" i="1"/>
  <c r="X4" i="4"/>
  <c r="W14" i="4"/>
  <c r="W45" i="1"/>
  <c r="W43" i="1"/>
  <c r="W41" i="1"/>
  <c r="W22" i="4"/>
  <c r="W26" i="4"/>
  <c r="W24" i="4"/>
  <c r="X5" i="4"/>
  <c r="W15" i="4"/>
  <c r="W27" i="4"/>
  <c r="W23" i="4"/>
  <c r="W25" i="4"/>
  <c r="Y48" i="1"/>
  <c r="Y47" i="1"/>
  <c r="Y39" i="1"/>
  <c r="Y55" i="1"/>
  <c r="X37" i="1"/>
  <c r="W52" i="1"/>
  <c r="Z24" i="2"/>
  <c r="Z63" i="1" s="1"/>
  <c r="Y38" i="1"/>
  <c r="Y62" i="1"/>
  <c r="Y53" i="1"/>
  <c r="Y61" i="1"/>
  <c r="Y36" i="1"/>
  <c r="X51" i="1"/>
  <c r="Y54" i="1"/>
  <c r="AA23" i="2"/>
  <c r="AA25" i="2" s="1"/>
  <c r="W42" i="1" l="1"/>
  <c r="Y64" i="1"/>
  <c r="W46" i="1"/>
  <c r="Y5" i="4"/>
  <c r="X15" i="4"/>
  <c r="X25" i="4"/>
  <c r="X23" i="4"/>
  <c r="X27" i="4"/>
  <c r="Y4" i="4"/>
  <c r="X14" i="4"/>
  <c r="X45" i="1"/>
  <c r="X43" i="1"/>
  <c r="X41" i="1"/>
  <c r="X22" i="4"/>
  <c r="X26" i="4"/>
  <c r="X24" i="4"/>
  <c r="W40" i="1"/>
  <c r="W44" i="1"/>
  <c r="Z48" i="1"/>
  <c r="Z47" i="1"/>
  <c r="Y37" i="1"/>
  <c r="X52" i="1"/>
  <c r="Z55" i="1"/>
  <c r="Z39" i="1"/>
  <c r="AA24" i="2"/>
  <c r="AA63" i="1" s="1"/>
  <c r="Z53" i="1"/>
  <c r="Z61" i="1"/>
  <c r="Z36" i="1"/>
  <c r="Y51" i="1"/>
  <c r="Z54" i="1"/>
  <c r="Z62" i="1"/>
  <c r="Z38" i="1"/>
  <c r="AB23" i="2"/>
  <c r="AB25" i="2" s="1"/>
  <c r="Z64" i="1" l="1"/>
  <c r="X40" i="1"/>
  <c r="Z4" i="4"/>
  <c r="Y14" i="4"/>
  <c r="Y41" i="1"/>
  <c r="Y43" i="1"/>
  <c r="Y45" i="1"/>
  <c r="Y22" i="4"/>
  <c r="Y24" i="4"/>
  <c r="Y26" i="4"/>
  <c r="X44" i="1"/>
  <c r="X42" i="1"/>
  <c r="Z5" i="4"/>
  <c r="Y15" i="4"/>
  <c r="Y27" i="4"/>
  <c r="Y25" i="4"/>
  <c r="Y23" i="4"/>
  <c r="X46" i="1"/>
  <c r="AA48" i="1"/>
  <c r="AA47" i="1"/>
  <c r="AA39" i="1"/>
  <c r="AA55" i="1"/>
  <c r="Z37" i="1"/>
  <c r="Y52" i="1"/>
  <c r="AB24" i="2"/>
  <c r="AB63" i="1" s="1"/>
  <c r="AA53" i="1"/>
  <c r="AA62" i="1"/>
  <c r="AA61" i="1"/>
  <c r="AA36" i="1"/>
  <c r="Z51" i="1"/>
  <c r="AA38" i="1"/>
  <c r="AA54" i="1"/>
  <c r="AC23" i="2"/>
  <c r="AC25" i="2" s="1"/>
  <c r="Y40" i="1" l="1"/>
  <c r="AA64" i="1"/>
  <c r="Y46" i="1"/>
  <c r="Y42" i="1"/>
  <c r="AA5" i="4"/>
  <c r="Z25" i="4"/>
  <c r="Z23" i="4"/>
  <c r="Z15" i="4"/>
  <c r="Z27" i="4"/>
  <c r="AA4" i="4"/>
  <c r="Z41" i="1"/>
  <c r="Z45" i="1"/>
  <c r="Z14" i="4"/>
  <c r="Z43" i="1"/>
  <c r="Z26" i="4"/>
  <c r="Z22" i="4"/>
  <c r="Z24" i="4"/>
  <c r="Y44" i="1"/>
  <c r="AB48" i="1"/>
  <c r="AB47" i="1"/>
  <c r="AA37" i="1"/>
  <c r="Z52" i="1"/>
  <c r="AB55" i="1"/>
  <c r="AB39" i="1"/>
  <c r="AC24" i="2"/>
  <c r="AC63" i="1" s="1"/>
  <c r="AB38" i="1"/>
  <c r="AB36" i="1"/>
  <c r="AA51" i="1"/>
  <c r="AB62" i="1"/>
  <c r="AB61" i="1"/>
  <c r="AB54" i="1"/>
  <c r="AB53" i="1"/>
  <c r="AD23" i="2"/>
  <c r="AD25" i="2" s="1"/>
  <c r="Z42" i="1" l="1"/>
  <c r="Z40" i="1"/>
  <c r="AB64" i="1"/>
  <c r="Z44" i="1"/>
  <c r="AB5" i="4"/>
  <c r="AA25" i="4"/>
  <c r="AA23" i="4"/>
  <c r="AA15" i="4"/>
  <c r="AA27" i="4"/>
  <c r="AB4" i="4"/>
  <c r="AA45" i="1"/>
  <c r="AA14" i="4"/>
  <c r="AA43" i="1"/>
  <c r="AA41" i="1"/>
  <c r="AA26" i="4"/>
  <c r="AA24" i="4"/>
  <c r="AA22" i="4"/>
  <c r="Z46" i="1"/>
  <c r="AC48" i="1"/>
  <c r="AC39" i="1"/>
  <c r="AC55" i="1"/>
  <c r="AC47" i="1"/>
  <c r="AB37" i="1"/>
  <c r="AA52" i="1"/>
  <c r="AD24" i="2"/>
  <c r="AD63" i="1" s="1"/>
  <c r="AC54" i="1"/>
  <c r="AC38" i="1"/>
  <c r="AC53" i="1"/>
  <c r="AC62" i="1"/>
  <c r="AC61" i="1"/>
  <c r="AC36" i="1"/>
  <c r="AB51" i="1"/>
  <c r="AE23" i="2"/>
  <c r="AE25" i="2" s="1"/>
  <c r="AA40" i="1" l="1"/>
  <c r="AC64" i="1"/>
  <c r="AA42" i="1"/>
  <c r="AC4" i="4"/>
  <c r="AB14" i="4"/>
  <c r="AB41" i="1"/>
  <c r="AB45" i="1"/>
  <c r="AB43" i="1"/>
  <c r="AB24" i="4"/>
  <c r="AB26" i="4"/>
  <c r="AB22" i="4"/>
  <c r="AA44" i="1"/>
  <c r="AC5" i="4"/>
  <c r="AB15" i="4"/>
  <c r="AB25" i="4"/>
  <c r="AB27" i="4"/>
  <c r="AB23" i="4"/>
  <c r="AA46" i="1"/>
  <c r="AD48" i="1"/>
  <c r="AD47" i="1"/>
  <c r="AC37" i="1"/>
  <c r="AB52" i="1"/>
  <c r="AD55" i="1"/>
  <c r="AD39" i="1"/>
  <c r="AE24" i="2"/>
  <c r="AE63" i="1" s="1"/>
  <c r="AD61" i="1"/>
  <c r="AD38" i="1"/>
  <c r="AD36" i="1"/>
  <c r="AC51" i="1"/>
  <c r="AD53" i="1"/>
  <c r="AD62" i="1"/>
  <c r="AD54" i="1"/>
  <c r="AF23" i="2"/>
  <c r="AF25" i="2" s="1"/>
  <c r="AB44" i="1" l="1"/>
  <c r="AB40" i="1"/>
  <c r="AD64" i="1"/>
  <c r="AB46" i="1"/>
  <c r="AD5" i="4"/>
  <c r="AC25" i="4"/>
  <c r="AC15" i="4"/>
  <c r="AC23" i="4"/>
  <c r="AC27" i="4"/>
  <c r="AD4" i="4"/>
  <c r="AC43" i="1"/>
  <c r="AC45" i="1"/>
  <c r="AC14" i="4"/>
  <c r="AC41" i="1"/>
  <c r="AC24" i="4"/>
  <c r="AC40" i="1" s="1"/>
  <c r="AC22" i="4"/>
  <c r="AC42" i="1" s="1"/>
  <c r="AC26" i="4"/>
  <c r="AC44" i="1" s="1"/>
  <c r="AB42" i="1"/>
  <c r="AE48" i="1"/>
  <c r="AE47" i="1"/>
  <c r="AE39" i="1"/>
  <c r="AE55" i="1"/>
  <c r="AD37" i="1"/>
  <c r="AC52" i="1"/>
  <c r="AF24" i="2"/>
  <c r="AE54" i="1"/>
  <c r="AE53" i="1"/>
  <c r="AE62" i="1"/>
  <c r="AE38" i="1"/>
  <c r="AE61" i="1"/>
  <c r="AE36" i="1"/>
  <c r="AD51" i="1"/>
  <c r="AG23" i="2"/>
  <c r="AG25" i="2" s="1"/>
  <c r="AE64" i="1" l="1"/>
  <c r="AF48" i="1"/>
  <c r="AE5" i="4"/>
  <c r="AD27" i="4"/>
  <c r="AD23" i="4"/>
  <c r="AD15" i="4"/>
  <c r="AD25" i="4"/>
  <c r="AC46" i="1"/>
  <c r="AE4" i="4"/>
  <c r="AD14" i="4"/>
  <c r="AD45" i="1"/>
  <c r="AD43" i="1"/>
  <c r="AD41" i="1"/>
  <c r="AD22" i="4"/>
  <c r="AD42" i="1" s="1"/>
  <c r="AD26" i="4"/>
  <c r="AD44" i="1" s="1"/>
  <c r="AD24" i="4"/>
  <c r="AF63" i="1"/>
  <c r="AF47" i="1"/>
  <c r="AA67" i="1"/>
  <c r="Z67" i="1"/>
  <c r="AE37" i="1"/>
  <c r="AD52" i="1"/>
  <c r="AF55" i="1"/>
  <c r="AF39" i="1"/>
  <c r="AG24" i="2"/>
  <c r="AG48" i="1" s="1"/>
  <c r="AF61" i="1"/>
  <c r="AF62" i="1"/>
  <c r="AF54" i="1"/>
  <c r="AF36" i="1"/>
  <c r="AE51" i="1"/>
  <c r="AF38" i="1"/>
  <c r="AF53" i="1"/>
  <c r="AH23" i="2"/>
  <c r="AH25" i="2" s="1"/>
  <c r="Z68" i="1" l="1"/>
  <c r="Z69" i="1"/>
  <c r="AA68" i="1"/>
  <c r="AA69" i="1"/>
  <c r="AD40" i="1"/>
  <c r="AF64" i="1"/>
  <c r="AD46" i="1"/>
  <c r="AG63" i="1"/>
  <c r="AF4" i="4"/>
  <c r="AE14" i="4"/>
  <c r="AE45" i="1"/>
  <c r="AE41" i="1"/>
  <c r="AE43" i="1"/>
  <c r="AE22" i="4"/>
  <c r="AE26" i="4"/>
  <c r="AE24" i="4"/>
  <c r="AF5" i="4"/>
  <c r="AE15" i="4"/>
  <c r="AE27" i="4"/>
  <c r="AE23" i="4"/>
  <c r="AE25" i="4"/>
  <c r="AA77" i="1"/>
  <c r="AA76" i="1"/>
  <c r="AA73" i="1"/>
  <c r="AA71" i="1"/>
  <c r="AA75" i="1"/>
  <c r="AA74" i="1"/>
  <c r="AA70" i="1"/>
  <c r="AA72" i="1"/>
  <c r="Z77" i="1"/>
  <c r="Z76" i="1"/>
  <c r="Z73" i="1"/>
  <c r="Z74" i="1"/>
  <c r="Z75" i="1"/>
  <c r="Z71" i="1"/>
  <c r="Z70" i="1"/>
  <c r="AB67" i="1"/>
  <c r="Z72" i="1"/>
  <c r="AG47" i="1"/>
  <c r="AG39" i="1"/>
  <c r="AG55" i="1"/>
  <c r="AF37" i="1"/>
  <c r="AE52" i="1"/>
  <c r="AH24" i="2"/>
  <c r="AH48" i="1" s="1"/>
  <c r="AG54" i="1"/>
  <c r="AG61" i="1"/>
  <c r="AG36" i="1"/>
  <c r="AF51" i="1"/>
  <c r="AG38" i="1"/>
  <c r="AG62" i="1"/>
  <c r="AG53" i="1"/>
  <c r="AI23" i="2"/>
  <c r="AI25" i="2" s="1"/>
  <c r="AB72" i="1" l="1"/>
  <c r="AB69" i="1"/>
  <c r="AB68" i="1"/>
  <c r="AE42" i="1"/>
  <c r="AG64" i="1"/>
  <c r="AE44" i="1"/>
  <c r="AE46" i="1"/>
  <c r="AG5" i="4"/>
  <c r="AF15" i="4"/>
  <c r="AF27" i="4"/>
  <c r="AF23" i="4"/>
  <c r="AF25" i="4"/>
  <c r="AG4" i="4"/>
  <c r="AF14" i="4"/>
  <c r="AF43" i="1"/>
  <c r="AF41" i="1"/>
  <c r="AF45" i="1"/>
  <c r="AF24" i="4"/>
  <c r="AF22" i="4"/>
  <c r="AF26" i="4"/>
  <c r="AE40" i="1"/>
  <c r="AH63" i="1"/>
  <c r="AB70" i="1"/>
  <c r="AB77" i="1"/>
  <c r="AB74" i="1"/>
  <c r="AB73" i="1"/>
  <c r="AB76" i="1"/>
  <c r="AB75" i="1"/>
  <c r="AB71" i="1"/>
  <c r="AH47" i="1"/>
  <c r="AG37" i="1"/>
  <c r="AF52" i="1"/>
  <c r="AH55" i="1"/>
  <c r="AH39" i="1"/>
  <c r="AI24" i="2"/>
  <c r="AI48" i="1" s="1"/>
  <c r="AH62" i="1"/>
  <c r="AH54" i="1"/>
  <c r="AH53" i="1"/>
  <c r="AH38" i="1"/>
  <c r="AH61" i="1"/>
  <c r="AH36" i="1"/>
  <c r="AG51" i="1"/>
  <c r="AF42" i="1" l="1"/>
  <c r="AF44" i="1"/>
  <c r="AI64" i="1"/>
  <c r="AH64" i="1"/>
  <c r="AI63" i="1"/>
  <c r="AF46" i="1"/>
  <c r="AF40" i="1"/>
  <c r="AH4" i="4"/>
  <c r="AG45" i="1"/>
  <c r="AG43" i="1"/>
  <c r="AG14" i="4"/>
  <c r="AG41" i="1"/>
  <c r="AG26" i="4"/>
  <c r="AG24" i="4"/>
  <c r="AG22" i="4"/>
  <c r="AH5" i="4"/>
  <c r="AG27" i="4"/>
  <c r="AG25" i="4"/>
  <c r="AG23" i="4"/>
  <c r="AG15" i="4"/>
  <c r="AC67" i="1"/>
  <c r="AI47" i="1"/>
  <c r="AI39" i="1"/>
  <c r="AI55" i="1"/>
  <c r="AH37" i="1"/>
  <c r="AG52" i="1"/>
  <c r="AI38" i="1"/>
  <c r="AI53" i="1"/>
  <c r="AI36" i="1"/>
  <c r="AI51" i="1" s="1"/>
  <c r="AH51" i="1"/>
  <c r="AI61" i="1"/>
  <c r="AI54" i="1"/>
  <c r="AI62" i="1"/>
  <c r="AC72" i="1" l="1"/>
  <c r="AC68" i="1"/>
  <c r="AC69" i="1"/>
  <c r="AG40" i="1"/>
  <c r="AG44" i="1"/>
  <c r="AG46" i="1"/>
  <c r="AI5" i="4"/>
  <c r="AH25" i="4"/>
  <c r="AH15" i="4"/>
  <c r="AH23" i="4"/>
  <c r="AH27" i="4"/>
  <c r="AI4" i="4"/>
  <c r="AH43" i="1"/>
  <c r="AH41" i="1"/>
  <c r="AH14" i="4"/>
  <c r="AH45" i="1"/>
  <c r="AH22" i="4"/>
  <c r="AH24" i="4"/>
  <c r="AH40" i="1" s="1"/>
  <c r="AH26" i="4"/>
  <c r="AG42" i="1"/>
  <c r="AE67" i="1"/>
  <c r="AC73" i="1"/>
  <c r="AC75" i="1"/>
  <c r="AC74" i="1"/>
  <c r="AC76" i="1"/>
  <c r="AC71" i="1"/>
  <c r="AC70" i="1"/>
  <c r="AC77" i="1"/>
  <c r="AD67" i="1"/>
  <c r="AI37" i="1"/>
  <c r="AI52" i="1" s="1"/>
  <c r="AH52" i="1"/>
  <c r="AE72" i="1" l="1"/>
  <c r="AE68" i="1"/>
  <c r="AE69" i="1"/>
  <c r="AD72" i="1"/>
  <c r="AD68" i="1"/>
  <c r="AD69" i="1"/>
  <c r="AH44" i="1"/>
  <c r="AH42" i="1"/>
  <c r="AI41" i="1"/>
  <c r="AI14" i="4"/>
  <c r="AI45" i="1"/>
  <c r="AI43" i="1"/>
  <c r="AI22" i="4"/>
  <c r="AI42" i="1" s="1"/>
  <c r="AI26" i="4"/>
  <c r="AI44" i="1" s="1"/>
  <c r="AI24" i="4"/>
  <c r="AH46" i="1"/>
  <c r="AI23" i="4"/>
  <c r="AI27" i="4"/>
  <c r="AI15" i="4"/>
  <c r="AI25" i="4"/>
  <c r="AE70" i="1"/>
  <c r="AF67" i="1"/>
  <c r="AD77" i="1"/>
  <c r="AD76" i="1"/>
  <c r="AD74" i="1"/>
  <c r="AD75" i="1"/>
  <c r="AD73" i="1"/>
  <c r="AD71" i="1"/>
  <c r="AD70" i="1"/>
  <c r="AE77" i="1"/>
  <c r="AE75" i="1"/>
  <c r="AE76" i="1"/>
  <c r="AE73" i="1"/>
  <c r="AE74" i="1"/>
  <c r="AE71" i="1"/>
  <c r="AF72" i="1" l="1"/>
  <c r="AF68" i="1"/>
  <c r="AF69" i="1"/>
  <c r="AI40" i="1"/>
  <c r="AI46" i="1"/>
  <c r="AF77" i="1"/>
  <c r="AF71" i="1"/>
  <c r="AF73" i="1"/>
  <c r="AF75" i="1"/>
  <c r="AF74" i="1"/>
  <c r="AF76" i="1"/>
  <c r="AF70" i="1"/>
  <c r="AH67" i="1" l="1"/>
  <c r="AG67" i="1"/>
  <c r="AG72" i="1" l="1"/>
  <c r="AG68" i="1"/>
  <c r="AG69" i="1"/>
  <c r="AH68" i="1"/>
  <c r="AH69" i="1"/>
  <c r="AH73" i="1"/>
  <c r="AH76" i="1"/>
  <c r="AH74" i="1"/>
  <c r="AH71" i="1"/>
  <c r="AH75" i="1"/>
  <c r="AH77" i="1"/>
  <c r="AH72" i="1"/>
  <c r="AG77" i="1"/>
  <c r="AG75" i="1"/>
  <c r="AG73" i="1"/>
  <c r="AG74" i="1"/>
  <c r="AG76" i="1"/>
  <c r="AG71" i="1"/>
  <c r="AG70" i="1"/>
  <c r="AH70" i="1"/>
  <c r="AI67" i="1" l="1"/>
  <c r="AI68" i="1" l="1"/>
  <c r="AI69" i="1"/>
  <c r="F67" i="1"/>
  <c r="AI77" i="1"/>
  <c r="AI71" i="1"/>
  <c r="AI73" i="1"/>
  <c r="AI74" i="1"/>
  <c r="AI76" i="1"/>
  <c r="AI75" i="1"/>
  <c r="AI70" i="1"/>
  <c r="AI72" i="1"/>
  <c r="E67" i="1"/>
  <c r="F72" i="1" l="1"/>
  <c r="F69" i="1"/>
  <c r="F68" i="1"/>
  <c r="E68" i="1"/>
  <c r="E69" i="1"/>
  <c r="G67" i="1"/>
  <c r="E77" i="1"/>
  <c r="E73" i="1"/>
  <c r="E71" i="1"/>
  <c r="E74" i="1"/>
  <c r="E75" i="1"/>
  <c r="E76" i="1"/>
  <c r="E70" i="1"/>
  <c r="E72" i="1"/>
  <c r="F71" i="1"/>
  <c r="F75" i="1"/>
  <c r="F76" i="1"/>
  <c r="F70" i="1"/>
  <c r="F73" i="1"/>
  <c r="F77" i="1"/>
  <c r="F74" i="1"/>
  <c r="G71" i="1" l="1"/>
  <c r="G69" i="1"/>
  <c r="G68" i="1"/>
  <c r="G75" i="1"/>
  <c r="G74" i="1"/>
  <c r="G70" i="1"/>
  <c r="G76" i="1"/>
  <c r="H67" i="1"/>
  <c r="G72" i="1"/>
  <c r="G73" i="1"/>
  <c r="G77" i="1"/>
  <c r="H72" i="1" l="1"/>
  <c r="H69" i="1"/>
  <c r="H68" i="1"/>
  <c r="H70" i="1"/>
  <c r="H73" i="1"/>
  <c r="H74" i="1"/>
  <c r="H75" i="1"/>
  <c r="H76" i="1"/>
  <c r="H77" i="1"/>
  <c r="H71" i="1"/>
  <c r="I67" i="1" l="1"/>
  <c r="I72" i="1" l="1"/>
  <c r="I69" i="1"/>
  <c r="I68" i="1"/>
  <c r="I77" i="1"/>
  <c r="I70" i="1"/>
  <c r="I71" i="1"/>
  <c r="I75" i="1"/>
  <c r="I76" i="1"/>
  <c r="I73" i="1"/>
  <c r="I74" i="1"/>
  <c r="J67" i="1"/>
  <c r="J72" i="1" l="1"/>
  <c r="J69" i="1"/>
  <c r="J68" i="1"/>
  <c r="K67" i="1"/>
  <c r="J76" i="1"/>
  <c r="J71" i="1"/>
  <c r="J73" i="1"/>
  <c r="J77" i="1"/>
  <c r="J74" i="1"/>
  <c r="J75" i="1"/>
  <c r="J70" i="1"/>
  <c r="K72" i="1" l="1"/>
  <c r="K69" i="1"/>
  <c r="K68" i="1"/>
  <c r="K77" i="1"/>
  <c r="K73" i="1"/>
  <c r="K74" i="1"/>
  <c r="K75" i="1"/>
  <c r="K70" i="1"/>
  <c r="K76" i="1"/>
  <c r="K71" i="1"/>
  <c r="L67" i="1"/>
  <c r="L72" i="1" l="1"/>
  <c r="L69" i="1"/>
  <c r="L68" i="1"/>
  <c r="M67" i="1"/>
  <c r="L74" i="1"/>
  <c r="L70" i="1"/>
  <c r="L73" i="1"/>
  <c r="L71" i="1"/>
  <c r="L77" i="1"/>
  <c r="L76" i="1"/>
  <c r="L75" i="1"/>
  <c r="M68" i="1" l="1"/>
  <c r="M69" i="1"/>
  <c r="M77" i="1"/>
  <c r="M71" i="1"/>
  <c r="M73" i="1"/>
  <c r="M70" i="1"/>
  <c r="M76" i="1"/>
  <c r="M74" i="1"/>
  <c r="M75" i="1"/>
  <c r="M72" i="1"/>
  <c r="N67" i="1"/>
  <c r="N68" i="1" l="1"/>
  <c r="N69" i="1"/>
  <c r="N74" i="1"/>
  <c r="N73" i="1"/>
  <c r="N76" i="1"/>
  <c r="N71" i="1"/>
  <c r="N77" i="1"/>
  <c r="N75" i="1"/>
  <c r="N70" i="1"/>
  <c r="O67" i="1"/>
  <c r="N72" i="1"/>
  <c r="O72" i="1" l="1"/>
  <c r="O68" i="1"/>
  <c r="O69" i="1"/>
  <c r="Q67" i="1"/>
  <c r="P67" i="1"/>
  <c r="O77" i="1"/>
  <c r="O73" i="1"/>
  <c r="O75" i="1"/>
  <c r="O74" i="1"/>
  <c r="O76" i="1"/>
  <c r="O71" i="1"/>
  <c r="O70" i="1"/>
  <c r="P72" i="1" l="1"/>
  <c r="P68" i="1"/>
  <c r="P69" i="1"/>
  <c r="Q72" i="1"/>
  <c r="Q68" i="1"/>
  <c r="Q69" i="1"/>
  <c r="P73" i="1"/>
  <c r="P76" i="1"/>
  <c r="P77" i="1"/>
  <c r="P74" i="1"/>
  <c r="P75" i="1"/>
  <c r="P70" i="1"/>
  <c r="P71" i="1"/>
  <c r="R67" i="1"/>
  <c r="Q77" i="1"/>
  <c r="Q73" i="1"/>
  <c r="Q71" i="1"/>
  <c r="Q70" i="1"/>
  <c r="Q75" i="1"/>
  <c r="Q74" i="1"/>
  <c r="Q76" i="1"/>
  <c r="R72" i="1" l="1"/>
  <c r="R68" i="1"/>
  <c r="R69" i="1"/>
  <c r="R77" i="1"/>
  <c r="R73" i="1"/>
  <c r="R74" i="1"/>
  <c r="R76" i="1"/>
  <c r="R71" i="1"/>
  <c r="R75" i="1"/>
  <c r="R70" i="1"/>
  <c r="S67" i="1" l="1"/>
  <c r="T67" i="1"/>
  <c r="T72" i="1" l="1"/>
  <c r="T69" i="1"/>
  <c r="T68" i="1"/>
  <c r="S72" i="1"/>
  <c r="S69" i="1"/>
  <c r="S68" i="1"/>
  <c r="S74" i="1"/>
  <c r="S76" i="1"/>
  <c r="S77" i="1"/>
  <c r="S71" i="1"/>
  <c r="S70" i="1"/>
  <c r="S73" i="1"/>
  <c r="S75" i="1"/>
  <c r="U67" i="1"/>
  <c r="T77" i="1"/>
  <c r="T70" i="1"/>
  <c r="T74" i="1"/>
  <c r="T71" i="1"/>
  <c r="T75" i="1"/>
  <c r="T76" i="1"/>
  <c r="T73" i="1"/>
  <c r="U72" i="1" l="1"/>
  <c r="U68" i="1"/>
  <c r="U69" i="1"/>
  <c r="U77" i="1"/>
  <c r="U70" i="1"/>
  <c r="U75" i="1"/>
  <c r="U71" i="1"/>
  <c r="U74" i="1"/>
  <c r="U73" i="1"/>
  <c r="U76" i="1"/>
  <c r="V67" i="1" l="1"/>
  <c r="V72" i="1" l="1"/>
  <c r="V68" i="1"/>
  <c r="V69" i="1"/>
  <c r="W67" i="1"/>
  <c r="V77" i="1"/>
  <c r="V70" i="1"/>
  <c r="V74" i="1"/>
  <c r="V71" i="1"/>
  <c r="V75" i="1"/>
  <c r="V73" i="1"/>
  <c r="V76" i="1"/>
  <c r="W76" i="1" l="1"/>
  <c r="W68" i="1"/>
  <c r="W69" i="1"/>
  <c r="W73" i="1"/>
  <c r="W74" i="1"/>
  <c r="W72" i="1"/>
  <c r="W75" i="1"/>
  <c r="W77" i="1"/>
  <c r="W70" i="1"/>
  <c r="W71" i="1"/>
  <c r="Y67" i="1"/>
  <c r="X67" i="1"/>
  <c r="Y72" i="1" l="1"/>
  <c r="Y68" i="1"/>
  <c r="Y69" i="1"/>
  <c r="X72" i="1"/>
  <c r="X68" i="1"/>
  <c r="X69" i="1"/>
  <c r="X75" i="1"/>
  <c r="X74" i="1"/>
  <c r="X73" i="1"/>
  <c r="X77" i="1"/>
  <c r="X70" i="1"/>
  <c r="X71" i="1"/>
  <c r="X76" i="1"/>
  <c r="Y77" i="1"/>
  <c r="Y71" i="1"/>
  <c r="Y75" i="1"/>
  <c r="Y70" i="1"/>
  <c r="Y74" i="1"/>
  <c r="Y76" i="1"/>
  <c r="Y73" i="1"/>
</calcChain>
</file>

<file path=xl/sharedStrings.xml><?xml version="1.0" encoding="utf-8"?>
<sst xmlns="http://schemas.openxmlformats.org/spreadsheetml/2006/main" count="315" uniqueCount="240">
  <si>
    <t>Community Business-As-Usual (BAU) Emission Projection</t>
  </si>
  <si>
    <t>Visual Summaries</t>
  </si>
  <si>
    <t>Data Calculations</t>
  </si>
  <si>
    <t xml:space="preserve">3) It was assumed that all other emission factors remained constant over time and emissions increase at the same rate of population. </t>
  </si>
  <si>
    <t>Projected Changes in Activity and Emissions Data Over Time</t>
  </si>
  <si>
    <t>Activity Data</t>
  </si>
  <si>
    <t>Stationary</t>
  </si>
  <si>
    <t>Natural Gas (th)</t>
  </si>
  <si>
    <t>Mobile</t>
  </si>
  <si>
    <t>Gasoline (gal)</t>
  </si>
  <si>
    <t>Gasoline VMT</t>
  </si>
  <si>
    <t>Diesel (gal)</t>
  </si>
  <si>
    <t>Diesel VMT</t>
  </si>
  <si>
    <t>Ethanol (gal)</t>
  </si>
  <si>
    <t>Ethanol VMT</t>
  </si>
  <si>
    <t>Electric Vehicle (kWh)</t>
  </si>
  <si>
    <t>Transit</t>
  </si>
  <si>
    <t>Waste</t>
  </si>
  <si>
    <r>
      <t>Emissions (mt CO</t>
    </r>
    <r>
      <rPr>
        <b/>
        <vertAlign val="subscript"/>
        <sz val="11"/>
        <rFont val="Poppins"/>
        <family val="2"/>
        <scheme val="minor"/>
      </rPr>
      <t>2</t>
    </r>
    <r>
      <rPr>
        <b/>
        <sz val="11"/>
        <rFont val="Poppins"/>
        <family val="2"/>
        <scheme val="minor"/>
      </rPr>
      <t>e)</t>
    </r>
  </si>
  <si>
    <t xml:space="preserve">Natural Gas Fugitive Emissions </t>
  </si>
  <si>
    <t>Natural Gas Emissions</t>
  </si>
  <si>
    <t xml:space="preserve">Gasoline Emissions </t>
  </si>
  <si>
    <t xml:space="preserve">Diesel Emissions </t>
  </si>
  <si>
    <t>Ethanol Emissions</t>
  </si>
  <si>
    <t>Total Gasoline, Diesel, and Ethanol Emissions</t>
  </si>
  <si>
    <t>Electric Vehicle Emissions</t>
  </si>
  <si>
    <t>Transit Emissions</t>
  </si>
  <si>
    <t>Other</t>
  </si>
  <si>
    <t>Wastewater</t>
  </si>
  <si>
    <r>
      <t>Business-As-Usual Emission Projections (mt CO</t>
    </r>
    <r>
      <rPr>
        <b/>
        <vertAlign val="subscript"/>
        <sz val="11"/>
        <color theme="0"/>
        <rFont val="Poppins"/>
        <family val="2"/>
        <scheme val="minor"/>
      </rPr>
      <t>2</t>
    </r>
    <r>
      <rPr>
        <b/>
        <sz val="11"/>
        <color theme="0"/>
        <rFont val="Poppins"/>
        <family val="2"/>
        <scheme val="minor"/>
      </rPr>
      <t>e)</t>
    </r>
  </si>
  <si>
    <t xml:space="preserve">Total Emissions </t>
  </si>
  <si>
    <t>Breakdown by Source Against Total Emissions</t>
  </si>
  <si>
    <t>Electricity</t>
  </si>
  <si>
    <t>Natural gas</t>
  </si>
  <si>
    <t>Gasoline, Diesel, and Ethanol</t>
  </si>
  <si>
    <t xml:space="preserve">Waste  </t>
  </si>
  <si>
    <t>Constants and Population Trends</t>
  </si>
  <si>
    <t>Conversion Factors and Global Warming Potentials</t>
  </si>
  <si>
    <t>Conversion Factors</t>
  </si>
  <si>
    <t>Global Warming Potentials</t>
  </si>
  <si>
    <t>lbs.</t>
  </si>
  <si>
    <t>metric ton</t>
  </si>
  <si>
    <t>Common Name</t>
  </si>
  <si>
    <t>Formula</t>
  </si>
  <si>
    <t>GWP</t>
  </si>
  <si>
    <t>Source</t>
  </si>
  <si>
    <t>kWh</t>
  </si>
  <si>
    <t>MWh</t>
  </si>
  <si>
    <t>Carbon Dioxide</t>
  </si>
  <si>
    <t>Methane</t>
  </si>
  <si>
    <t>Nitrous Oxide</t>
  </si>
  <si>
    <t>Trends</t>
  </si>
  <si>
    <t>Projected Changes in Population</t>
  </si>
  <si>
    <t>Population increases YOY</t>
  </si>
  <si>
    <t>Population increases since 2005</t>
  </si>
  <si>
    <t>Projected Changes in Electricity Emission Factors</t>
  </si>
  <si>
    <t>Instructions</t>
  </si>
  <si>
    <t>Questions should be directed to:</t>
  </si>
  <si>
    <t>Lotus Engineering and Sustainability, LLC</t>
  </si>
  <si>
    <t>(216) 346-7478</t>
  </si>
  <si>
    <t>Goal</t>
  </si>
  <si>
    <t>Background</t>
  </si>
  <si>
    <t>This spreadsheet compiles strategy information and associated assumptions and data to estimate GHG emission reductions from key building energy, mobile, and waste strategies.</t>
  </si>
  <si>
    <t>Guide</t>
  </si>
  <si>
    <t>Worksheet</t>
  </si>
  <si>
    <t>Description</t>
  </si>
  <si>
    <t>INTRODUCTION</t>
  </si>
  <si>
    <t>Provides an overview of the workbook.</t>
  </si>
  <si>
    <t>CONSTANTS AND TRENDS</t>
  </si>
  <si>
    <t>BUSINESS AS USUAL</t>
  </si>
  <si>
    <t>Projects out community activity data and potential GHG emissions until 2050.</t>
  </si>
  <si>
    <t>Introduction to GHG Business as Usual Calculator</t>
  </si>
  <si>
    <t xml:space="preserve">Lists all emission factors and constants used in the GHG emission calculations. </t>
  </si>
  <si>
    <t>Use this workbook to record data sources, collect key metrics, and calculate the greenhouse (GHG) emission business-as-usual estimates. This workbook is intended to be used by someone with basic knowledge of GHG emissions and who is proficient with Excel.  Be attentive, as there are many linked cells and changing those cells could cause errors in the calculations.</t>
  </si>
  <si>
    <t xml:space="preserve">julia@lotussustainability.com </t>
  </si>
  <si>
    <t>Commerce City population estimates</t>
  </si>
  <si>
    <t>Commerce City population change YOY</t>
  </si>
  <si>
    <t>Adams County population estimates</t>
  </si>
  <si>
    <t>Adams County population increases YOY</t>
  </si>
  <si>
    <t>Julia Newman</t>
  </si>
  <si>
    <t>Managing Director</t>
  </si>
  <si>
    <t>Rachel Meier</t>
  </si>
  <si>
    <t>Associate</t>
  </si>
  <si>
    <t>(612) 558-6296</t>
  </si>
  <si>
    <t>rachel@lotussustainability.com</t>
  </si>
  <si>
    <t>Domenic Martinelli</t>
  </si>
  <si>
    <t>Environmental Planner</t>
  </si>
  <si>
    <t>City of Commerce City</t>
  </si>
  <si>
    <t>(303) 289-3670</t>
  </si>
  <si>
    <t>dmartinelli@c3gov.com</t>
  </si>
  <si>
    <t>Commerce City population increases since 2019</t>
  </si>
  <si>
    <t>Xcel - Emission Factors (lbs. CO2/per MWh)</t>
  </si>
  <si>
    <t>Xcel - Emission Factors (mt CO2e/per MWh)</t>
  </si>
  <si>
    <t xml:space="preserve">1) The 2019 population is from the Commerce City 2019 greenhouse gas emissions inventory. Population projections from 2020-2050 are based on Colorado State Demographer's projections for Adams County available at https://demography.dola.colorado.gov/population/population-totals-counties/#population-totals-for-colorado-counties; spreadsheet on file. Assumed that Commerce City's population changed at the same rate as the county as a whole. </t>
  </si>
  <si>
    <t xml:space="preserve">3) The 2019 Tri-State emissions factor does not account for member generation or RECs owned by United Power, i.e., it represents energy sold to Tri-State's members. The 2030 Tri-State carbon reduction goal is also based on sales to members. </t>
  </si>
  <si>
    <t xml:space="preserve">4) Tri-State is currently developing its updated resource plan to present to the Public Utilities Commission in December of 2020. The emissions factor projections may benefit from being updated once the final resource plan is approved. </t>
  </si>
  <si>
    <t>Annual change from 2019 Baseline</t>
  </si>
  <si>
    <t xml:space="preserve">5) Xcel emission factors for 2018 through 2021 were provided by Xcel Energy in a spreadsheet titled Xcel Energy Intensity or Emissions Factors Apr 2017. This spreadsheet provides Xcel's emissions factors for 2005-2021. 2005 is the baseline year from which all carbon reduction goals for Xcel are based. Xcel has not publicly released any data on projected emission factors after 2021. Xcel Energy has committed to reducing carbon emissions 80% by 2030 based on a 2005 baseline and to being a zero-carbon electric utility by 2050. While this goal applies to Xcel's entire territory and carbon emissions, Xcel noted that Colorado's specific goal is very close and that emission factors follow the same trajectory; hence, Xcel's corporate goal could be reasonably applied to Colorado's emission factors. Based on Xcel's goals, the Xcel 2030 emissions factor will be 370 lbs. CO2/MWh or 0.172 mt CO2e/MWh (this represents an 80% reduction in the utility's 2005 emissions factor of 1,849 lbs. CO2/MWh or 0.843 mt CO2e/MWh). Based on Xcel's 2021 emissions factors estimates, an 80% decrease by 2030 (based on 2005 base year values) yields an annual incremental decrease of 0.035 mt CO2e/MWh between 2022 and 2030; a 100% decrease in carbon emissions by 2050 results in an annual incremental decrease of 18.5 lbs./MWh or 0.0009 mt CO2e/MWh between 2031 and 2050. </t>
  </si>
  <si>
    <t>Tri-State EF Increases YOY</t>
  </si>
  <si>
    <t>Tri-State Emission Estimate Decreases since 2019</t>
  </si>
  <si>
    <t>Xcel EF Increases YOY</t>
  </si>
  <si>
    <t>Xcel Emission Estimate Decreases since 2019</t>
  </si>
  <si>
    <t>IPCC Sixth Assessment Report; document can be found at: https://www.ipcc.ch/report/ar6/wg1/downloads/report/IPCC_AR6_WGI_Chapter_07.pdf.</t>
  </si>
  <si>
    <t>Electricity from United Power (kWh)</t>
  </si>
  <si>
    <t>Electricity from Xcel Energy (kWh)</t>
  </si>
  <si>
    <t>Rail</t>
  </si>
  <si>
    <t>RTD Diesel (gal)</t>
  </si>
  <si>
    <t>Freight Rail (gal)</t>
  </si>
  <si>
    <t>Stationary Diesel (gal)</t>
  </si>
  <si>
    <t>Stationary Diesel Emissions</t>
  </si>
  <si>
    <t>Rail Emissions</t>
  </si>
  <si>
    <t>United Power Electricity Emissions</t>
  </si>
  <si>
    <t>Xcel Energy Electricity Emissions</t>
  </si>
  <si>
    <t xml:space="preserve">6) Activity and emissions data from 2019 were taken from Commerce City's 2019 emissions inventory. </t>
  </si>
  <si>
    <t>Denver MSA population estimates</t>
  </si>
  <si>
    <t>Denver MSA population change YOY</t>
  </si>
  <si>
    <t>Denver MSA population change since 2019</t>
  </si>
  <si>
    <t>Electric Vehicle Targets</t>
  </si>
  <si>
    <t>Heavy Duty Vehicles</t>
  </si>
  <si>
    <t>Projections</t>
  </si>
  <si>
    <t>On-Road</t>
  </si>
  <si>
    <t>Percent VMT- Electric</t>
  </si>
  <si>
    <t>Diesel and Biodiesel (Gallons)</t>
  </si>
  <si>
    <t>Gasoline (Gallons)</t>
  </si>
  <si>
    <t>Ethanol (Gallons)</t>
  </si>
  <si>
    <t>Electric Emissions</t>
  </si>
  <si>
    <t>Diesel Emissions</t>
  </si>
  <si>
    <t>Gasoline Emissions</t>
  </si>
  <si>
    <t>Total</t>
  </si>
  <si>
    <t>Total Electric Emission</t>
  </si>
  <si>
    <t>Total Diesel and Biodiesel Emissions</t>
  </si>
  <si>
    <t>Total Gasoline and Ethanol Emissions</t>
  </si>
  <si>
    <t xml:space="preserve">Total </t>
  </si>
  <si>
    <t>Data Assumptions and Notable Trends</t>
  </si>
  <si>
    <t>Vehicle Miles Traveled</t>
  </si>
  <si>
    <t xml:space="preserve">2) There is no consensus on whether VMT will naturally decrease over time, per research, industry experience, and discussions with SWEEP. Therefore, this model does not assume any changes to VMT except following increases at the rate of population growth. </t>
  </si>
  <si>
    <t xml:space="preserve">3) Percent VMT in rows 13:16 based on inventories and trends. </t>
  </si>
  <si>
    <t>Electric Vehicles</t>
  </si>
  <si>
    <t>Number of Electric Vehicles and Displacement of Vehicles</t>
  </si>
  <si>
    <t>Efficiency</t>
  </si>
  <si>
    <t>1) Assumes linear efficiency increase between each year provided (2017, 2030, 2040, and 2050). Efficiency (kWh/mi) are for plug-in electric cars.  Based on data from the Alternative Fuels Data Center with the Department of Energy: https://www.afdc.energy.gov/fuels/electricity_charging_home.html and Mid-Atlantic and Northeast Plug-in Electric Vehicle Cost-Benefit Analysis: https://mjbradley.com/sites/default/files/NE_PEV_CB_Analysis_Methodology.pdf. Assumes efficiency is the same between 2005-2017 (0.33 kWh/mile)</t>
  </si>
  <si>
    <t>Number of Registered Vehicles</t>
  </si>
  <si>
    <t>Percent Electric Vehicles</t>
  </si>
  <si>
    <t>Number of Electric Vehicles</t>
  </si>
  <si>
    <t>Projected Fuel Efficiency Standards (kWh per mile)</t>
  </si>
  <si>
    <t>Fuel Efficiency for Vehicles</t>
  </si>
  <si>
    <t>Increase Efficiency (YOY)</t>
  </si>
  <si>
    <t>Transportation Emission Factors</t>
  </si>
  <si>
    <t>Gasoline</t>
  </si>
  <si>
    <t>Greenhouse Gas</t>
  </si>
  <si>
    <t>Vehicle Type</t>
  </si>
  <si>
    <t>Value</t>
  </si>
  <si>
    <t>Units</t>
  </si>
  <si>
    <t>All</t>
  </si>
  <si>
    <t xml:space="preserve"> ICLEI’s U.S. Community Protocol for Accounting and Reporting of Greenhouse Gas Emissions (Community Protocol) – Appendix D: Transportation and Other Mobile Emission Activities and Sources, Version 1.1, July 2013: http://icleiusa.org/ghg-protocols/. </t>
  </si>
  <si>
    <t>Passenger Vehicle</t>
  </si>
  <si>
    <t>Light Truck</t>
  </si>
  <si>
    <t>Heavy Truck</t>
  </si>
  <si>
    <t>Motorcycle</t>
  </si>
  <si>
    <t>Diesel</t>
  </si>
  <si>
    <t>Ethanol</t>
  </si>
  <si>
    <t xml:space="preserve">ICLEI’s U.S. Community Protocol for Accounting and Reporting of Greenhouse Gas Emissions (Community Protocol) – Appendix D: Transportation and Other Mobile Emission Activities and Sources, Version 1.1, July 2013: http://icleiusa.org/ghg-protocols/. </t>
  </si>
  <si>
    <t>Light Duty</t>
  </si>
  <si>
    <t>Local Government Operations Protocol, Version 1.1, May 2010: https://www.theclimateregistry.org/wp-content/uploads/2014/12/2010-05-06-LGO-1.1.pdf.</t>
  </si>
  <si>
    <t>Heavy Duty</t>
  </si>
  <si>
    <t>Electric (kWh)</t>
  </si>
  <si>
    <t>Percent VMT- Electric Single Unit Trucks</t>
  </si>
  <si>
    <t>Percent VMT - Diesel and Biodiesel Single Unit Trucks</t>
  </si>
  <si>
    <t>Percent VMT - Gasoline Single Unit Trucks</t>
  </si>
  <si>
    <t>Percent VMT - Ethanol Single Unit Trucks</t>
  </si>
  <si>
    <t>Electric Single Unit Trucks (kWh)</t>
  </si>
  <si>
    <t>Average MPG - Diesel and Biodiesel Single Unit Trucks</t>
  </si>
  <si>
    <t>Average MPG - Gasoline Single Unit Trucks</t>
  </si>
  <si>
    <t>Average MPG - Ethanol Single Unit Trucks</t>
  </si>
  <si>
    <t>Diesel and Biodiesel (Gallons) Single Unit Trucks</t>
  </si>
  <si>
    <t>Gasoline (Gallons) Single Unit Trucks</t>
  </si>
  <si>
    <t>Ethanol (Gallons) Single Unit Trucks</t>
  </si>
  <si>
    <t>Total VMT without Single Unit Trucks</t>
  </si>
  <si>
    <t>Total Single Unit Trucks VMT</t>
  </si>
  <si>
    <t>g</t>
  </si>
  <si>
    <t>1) 2019 VMT data came from the GHG inventory.</t>
  </si>
  <si>
    <t xml:space="preserve">1) The number of electric vehicles in Commerce City in 2019 was 114. Data provided by Kevin Kihn from Department of Revenue. Data on file. </t>
  </si>
  <si>
    <t>2) The number of electric vehicles from 2019 to 2030 was based on the medium EV Growth Scenario from the CEO Report. For more information: https://www.colorado.gov/pacific/sites/default/files/atoms/files/EV%20Market%20Study%202015_0.pdf</t>
  </si>
  <si>
    <t>5) The number of electric single unit trucks from 2019-2040 was based off goals developed by delivery companies like Amazon, Fedex, and UPS. These companies have net-zero emissions by 2040 goals, thus it was assumed that the percentage of EV single unit trucks in 2040 is 100% and that the percentage increases linearly starting in 2021. EV goals from: https://newsroom.fedex.com/newsroom/sustainability2021/ and https://sustainability.aboutamazon.com/.</t>
  </si>
  <si>
    <t xml:space="preserve">6) Since single unit trucks in Commerce City are not exclusively used by UPS, Fedex, and Amazon, it was assumed that these trucks comprise 50% of all single unit trucks in Commerce City. </t>
  </si>
  <si>
    <t xml:space="preserve">7) The addition of electric single unit trucks is assumed to offset gasoline, diesel, and ethanol equally after 2019. </t>
  </si>
  <si>
    <t>2) Electric vehicles and electric single unit trucks are assumed to have the same projected fuel efficiency standards through 2050.</t>
  </si>
  <si>
    <t xml:space="preserve">1) Projected fuel efficiency values for gasoline passenger vehicles between 2018 and 2025 model California's clean car emission standards. In June 2018, Governor Hickenlooper adopted California's clean car emission standards: https://www.denverpost.com/2018/06/19/colorado-california-emission-vehicle-standards/. Projected fuel efficiency based on California's clean car emissions standards, which call for an average truck and passenger vehicle efficiency of 54.5 miles per gallon by 2025: https://www.nytimes.com/2017/03/24/business/energy-environment/california-upholds-emissions-standards-setting-up-face-off-with-trump.html. While shown as CO2, detailed methodology provided in the Federal Register, Volume 77, No. 199: https://www.gpo.gov/fdsys/pkg/FR-2012-10-15/pdf/2012-21972.pdf, states that this value was actually calculated as CO2e and that it excludes diesel vehicles, assuming that a majority of fuel efficiency improvements will be made to gasoline vehicles. This value presumably includes increased efficiencies from electric vehicles and other alternative vehicles and only applies to new vehicles. No data on increased fuel efficiency predictions from internal combustion engines is available; therefore, the calculations in this workbook assume fuel efficiencies from Energy Information Administration's projections through 2040. Fuel efficiencies from 2041 through 2050 equal the efficiency in 2040.  Note that Lotus did not use the MPGs laid out in these goals but instead used the average increase in efficiency since Commerce City has a variety of vehicles (not just passenger vehicles) with varying efficiencies. </t>
  </si>
  <si>
    <t>2) 2019 average MPGs were taken from the GHG inventory. It is assumed that the MPG for diesel, gasoline, and ethanol single unit trucks remains constant between 2019-2050.</t>
  </si>
  <si>
    <t>On-Road Vehicles</t>
  </si>
  <si>
    <t>IPPU</t>
  </si>
  <si>
    <t>Wastewater Emissions</t>
  </si>
  <si>
    <t>ON-ROAD</t>
  </si>
  <si>
    <t>Projects out on-road vehicle emissions while taking into account various EV goals until 2050.</t>
  </si>
  <si>
    <r>
      <t>CO</t>
    </r>
    <r>
      <rPr>
        <vertAlign val="subscript"/>
        <sz val="11"/>
        <color theme="1"/>
        <rFont val="Poppins"/>
        <scheme val="minor"/>
      </rPr>
      <t>2</t>
    </r>
  </si>
  <si>
    <r>
      <t>CH</t>
    </r>
    <r>
      <rPr>
        <vertAlign val="subscript"/>
        <sz val="11"/>
        <color theme="1"/>
        <rFont val="Poppins"/>
        <scheme val="minor"/>
      </rPr>
      <t>4</t>
    </r>
  </si>
  <si>
    <r>
      <t>N</t>
    </r>
    <r>
      <rPr>
        <vertAlign val="subscript"/>
        <sz val="11"/>
        <color theme="1"/>
        <rFont val="Poppins"/>
        <scheme val="minor"/>
      </rPr>
      <t>2</t>
    </r>
    <r>
      <rPr>
        <sz val="12"/>
        <color rgb="FF000000"/>
        <rFont val="Poppins"/>
        <scheme val="minor"/>
      </rPr>
      <t>O</t>
    </r>
  </si>
  <si>
    <r>
      <t>Emissions  (mt CO</t>
    </r>
    <r>
      <rPr>
        <b/>
        <vertAlign val="subscript"/>
        <sz val="11"/>
        <color theme="0"/>
        <rFont val="Poppins"/>
        <scheme val="minor"/>
      </rPr>
      <t>2</t>
    </r>
    <r>
      <rPr>
        <b/>
        <sz val="11"/>
        <color theme="0"/>
        <rFont val="Poppins"/>
        <scheme val="minor"/>
      </rPr>
      <t>e)</t>
    </r>
  </si>
  <si>
    <t xml:space="preserve">The goal of this tool is to provide a transparent and defensible calculation methodology for estimating the potential of GHG emission reduction strategies. </t>
  </si>
  <si>
    <r>
      <t>Projected Tri-State electricity emission factors (mt CO</t>
    </r>
    <r>
      <rPr>
        <vertAlign val="subscript"/>
        <sz val="12"/>
        <rFont val="Poppins"/>
        <scheme val="minor"/>
      </rPr>
      <t>2</t>
    </r>
    <r>
      <rPr>
        <sz val="12"/>
        <rFont val="Poppins"/>
        <scheme val="minor"/>
      </rPr>
      <t>e/MWh)</t>
    </r>
  </si>
  <si>
    <r>
      <t xml:space="preserve">2) Per recent announcements, conversations with Peter Rusin and Andy Berger at Tri-State (United Power's wholesale provider), and the wholesale provider's Responsible Energy Plan, Tri-State Generation and Transmission has a goal of reducing carbon emissions for member sales by 70 percent by 2030, based on a 2005 baseline. The 2005  and 2019 emissions factors for Tri-State are provided in the </t>
    </r>
    <r>
      <rPr>
        <sz val="12"/>
        <color rgb="FF000000"/>
        <rFont val="Poppins"/>
        <scheme val="minor"/>
      </rPr>
      <t xml:space="preserve">May 2020 Tri-State's Carbon Rate Issue Brief </t>
    </r>
    <r>
      <rPr>
        <sz val="12"/>
        <color theme="1"/>
        <rFont val="Poppins"/>
        <scheme val="minor"/>
      </rPr>
      <t>(on file). Emissions factors from 2006-2009 are not known so it was assumed emissions factor changed linearly between 2005-2010. For simplicity purposes, it is assumed that Tri-State's emissions factor will change linearly each year between 2019 and 2030.  It is assumed that Tri-State's emissions factor will remain flat after the 2030 goal is met.</t>
    </r>
  </si>
  <si>
    <t>Assumptions and Notes</t>
  </si>
  <si>
    <t>7) IPPU emissions are assumed to increase with Denver MSA population increase rates. IPPU emissions include refrigerants.</t>
  </si>
  <si>
    <t>Percent VMT - Diesel and Biodiesel</t>
  </si>
  <si>
    <t>Percent VMT - Gasoline</t>
  </si>
  <si>
    <t>Percent VMT - Ethanol</t>
  </si>
  <si>
    <t>Average MPG - Diesel and Biodiesel</t>
  </si>
  <si>
    <t>Average MPG - Gasoline</t>
  </si>
  <si>
    <t>Average MPG - Ethanol</t>
  </si>
  <si>
    <t>Industrial Processes and Product Use Emissions and Refrigerants</t>
  </si>
  <si>
    <t xml:space="preserve">5) See On-Road tab for more information regarding assumptions. </t>
  </si>
  <si>
    <r>
      <t>CO</t>
    </r>
    <r>
      <rPr>
        <vertAlign val="subscript"/>
        <sz val="12"/>
        <color theme="1"/>
        <rFont val="Poppins"/>
        <scheme val="minor"/>
      </rPr>
      <t>2</t>
    </r>
  </si>
  <si>
    <r>
      <t>mt CO</t>
    </r>
    <r>
      <rPr>
        <vertAlign val="subscript"/>
        <sz val="12"/>
        <color theme="1"/>
        <rFont val="Poppins"/>
        <scheme val="minor"/>
      </rPr>
      <t>2</t>
    </r>
    <r>
      <rPr>
        <sz val="12"/>
        <color theme="1"/>
        <rFont val="Poppins"/>
        <scheme val="minor"/>
      </rPr>
      <t>/gal</t>
    </r>
  </si>
  <si>
    <r>
      <t>CH</t>
    </r>
    <r>
      <rPr>
        <vertAlign val="subscript"/>
        <sz val="12"/>
        <color theme="1"/>
        <rFont val="Poppins"/>
        <scheme val="minor"/>
      </rPr>
      <t>4</t>
    </r>
  </si>
  <si>
    <r>
      <t>g CH</t>
    </r>
    <r>
      <rPr>
        <vertAlign val="subscript"/>
        <sz val="12"/>
        <color theme="1"/>
        <rFont val="Poppins"/>
        <scheme val="minor"/>
      </rPr>
      <t>4</t>
    </r>
    <r>
      <rPr>
        <sz val="12"/>
        <color theme="1"/>
        <rFont val="Poppins"/>
        <scheme val="minor"/>
      </rPr>
      <t>/mile</t>
    </r>
  </si>
  <si>
    <r>
      <t>CH</t>
    </r>
    <r>
      <rPr>
        <vertAlign val="subscript"/>
        <sz val="12"/>
        <color theme="1"/>
        <rFont val="Poppins"/>
        <scheme val="minor"/>
      </rPr>
      <t>4</t>
    </r>
    <r>
      <rPr>
        <sz val="12"/>
        <color rgb="FF000000"/>
        <rFont val="Poppins"/>
      </rPr>
      <t/>
    </r>
  </si>
  <si>
    <r>
      <t>N</t>
    </r>
    <r>
      <rPr>
        <vertAlign val="subscript"/>
        <sz val="12"/>
        <color theme="1"/>
        <rFont val="Poppins"/>
        <scheme val="minor"/>
      </rPr>
      <t>2</t>
    </r>
    <r>
      <rPr>
        <sz val="12"/>
        <color theme="1"/>
        <rFont val="Poppins"/>
        <scheme val="minor"/>
      </rPr>
      <t>O</t>
    </r>
  </si>
  <si>
    <r>
      <t>g N</t>
    </r>
    <r>
      <rPr>
        <vertAlign val="subscript"/>
        <sz val="12"/>
        <color theme="1"/>
        <rFont val="Poppins"/>
        <scheme val="minor"/>
      </rPr>
      <t>2</t>
    </r>
    <r>
      <rPr>
        <sz val="12"/>
        <color theme="1"/>
        <rFont val="Poppins"/>
        <scheme val="minor"/>
      </rPr>
      <t>O/mile</t>
    </r>
  </si>
  <si>
    <t>Projected fuel efficiency (MPG)</t>
  </si>
  <si>
    <t>7) To forecast emissions from the IPPU sector, Lotus used CO State Demographer's projections for the Denver Primary Metropolitan Statistical Area, which includes Denver, Adams, Arapahoe, Broomfiel, Douglas, and Jefferson counties. These projections are available at: https://demography.dola.colorado.gov/population/population-totals-colorado-substate/#population-totals-for-colorado-and-sub-state-regions and the spreadsheet is on file.</t>
  </si>
  <si>
    <t xml:space="preserve">4) The number of electric vehicles are expected to increase past 2030; however, that number is not known so currently kept constant. </t>
  </si>
  <si>
    <t>8) The number of electric single unit trucks from 2019-2040 was based off goals developed by delivery companies like Amazon, Fedex, and UPS. These companies have net-zero emissions by 2040 goals, thus it was assumed that the percentage of EV single unit trucks in 2040 is 100% and that the percentage increases linearly starting in 2021. EV goals from: https://newsroom.fedex.com/newsroom/sustainability2021/ and https://sustainability.aboutamazon.com/.</t>
  </si>
  <si>
    <t>6) Per recommendation of Xcel, to account for N2O and CH4 we multiplied CO2 by 1.002. Email on file.  This assumption was used for Tri-State as well.</t>
  </si>
  <si>
    <t xml:space="preserve">4) Waste activity data and emissions includes landfilled MSW and C&amp;D and composted waste. </t>
  </si>
  <si>
    <t>Waste Emissions Factors (2039-2050)</t>
  </si>
  <si>
    <t>Waste Emissions</t>
  </si>
  <si>
    <t>Compost Emissions</t>
  </si>
  <si>
    <t>MSW Tons generated (tons)</t>
  </si>
  <si>
    <t>Compost Tons generated (tons)</t>
  </si>
  <si>
    <t>Estimated MT CO2e per ton of composted waste</t>
  </si>
  <si>
    <t>mt CO2e/ton waste</t>
  </si>
  <si>
    <t xml:space="preserve">2) Electricity emissions took into consideration projected electricity emission factors.  Waste and compost emissions assumed a constant per ton emissions factor. </t>
  </si>
  <si>
    <t>US ton</t>
  </si>
  <si>
    <t xml:space="preserve">1) Activity data from 2020 through 2050 is assumed to increase at the same rate as Commerce City population. WWTP emissions were assumed to increase at the same rate as the Denver MSA population because the plant serves both Commerce City and the surrounding geographic area. Waste and compost activity data are assumed to increase at the same rate as the Denver MSA population because those facilities also serve the entire region. </t>
  </si>
  <si>
    <t>Estimated MT CO2e per ton of landfilled MSW at Tower Road</t>
  </si>
  <si>
    <t>Estimated MT CO2e per ton of landfilled MSW disposed elsewhere</t>
  </si>
  <si>
    <t xml:space="preserve">9) Estimated compost and MSW emissions factors are based on total tons of waste produced and total waste emissions for MSW and compost in the 2019 inventory. Tower Road landfill uses a 35% oxidization factor for waste disposed there, while other haulers use a standard 10% oxidization factor. </t>
  </si>
  <si>
    <t xml:space="preserve">8) Tower Road landfill is scheduled to close in 2038. Because the landfill accepts waste from around the region, waste emissions will drop significantly as after the landfill closes only emissions from waste produced inside Commerce City (i.e., not the entire region) are accounted for. From 2020-2038, waste emissions are estimated using estimated tons of waste at Tower Road and the emissions factor for Tower Road landfill. From 2039-2050 waste emissions are estimated based on the assumption that each Commerce City resident produces 4.9 pounds of trash per person per day (https://www.epa.gov/facts-and-figures-about-materials-waste-and-recycling/national-overview-facts-and-figures-materials) and an average estimate of emissions per ton for MSW based on emissions factors for other landfills. Compost emissions from 2020-2050 are estimated based on assumed tons per day and the emissions factor per ton of compost.  </t>
  </si>
  <si>
    <t>Percent change from 2019 baseline</t>
  </si>
  <si>
    <t>3) The addition of electric vehicles is assumed to offset gasoline, diesel, and ethanol equally after 2019. These Evs are assumed to all be battery electric vehicles rather than a mix of plug-in hybrid and battery electric vehicles.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</si>
</sst>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0.0%"/>
    <numFmt numFmtId="165" formatCode="#,##0.000_);\(#,##0.000\)"/>
    <numFmt numFmtId="166" formatCode="_(* #,##0_);_(* \(#,##0\);_(* &quot;-&quot;??_);_(@_)"/>
    <numFmt numFmtId="167" formatCode="0.0"/>
    <numFmt numFmtId="168" formatCode="0.000"/>
    <numFmt numFmtId="169" formatCode="0.0000"/>
  </numFmts>
  <fonts count="91">
    <font>
      <sz val="12"/>
      <color rgb="FF000000"/>
      <name val="Poppins"/>
    </font>
    <font>
      <sz val="11"/>
      <color theme="1"/>
      <name val="Poppins"/>
      <family val="2"/>
      <scheme val="minor"/>
    </font>
    <font>
      <sz val="11"/>
      <color theme="1"/>
      <name val="Poppins"/>
      <family val="2"/>
      <scheme val="minor"/>
    </font>
    <font>
      <sz val="11"/>
      <color theme="1"/>
      <name val="Poppins"/>
      <family val="2"/>
      <scheme val="minor"/>
    </font>
    <font>
      <b/>
      <sz val="11"/>
      <color theme="0"/>
      <name val="Poppins"/>
      <family val="2"/>
      <scheme val="minor"/>
    </font>
    <font>
      <b/>
      <sz val="11"/>
      <color theme="1"/>
      <name val="Poppins"/>
      <family val="2"/>
      <scheme val="minor"/>
    </font>
    <font>
      <sz val="12"/>
      <color rgb="FF000000"/>
      <name val="Calibri"/>
      <family val="2"/>
    </font>
    <font>
      <sz val="10"/>
      <name val="Poppins"/>
      <family val="2"/>
      <scheme val="minor"/>
    </font>
    <font>
      <sz val="11"/>
      <color rgb="FFFFFFFF"/>
      <name val="Poppins"/>
      <family val="2"/>
      <scheme val="minor"/>
    </font>
    <font>
      <i/>
      <sz val="11"/>
      <name val="Poppins"/>
      <family val="2"/>
      <scheme val="minor"/>
    </font>
    <font>
      <i/>
      <sz val="11"/>
      <color theme="1"/>
      <name val="Poppins"/>
      <family val="2"/>
      <scheme val="minor"/>
    </font>
    <font>
      <b/>
      <sz val="11"/>
      <color rgb="FF000000"/>
      <name val="Poppins"/>
      <family val="2"/>
      <scheme val="minor"/>
    </font>
    <font>
      <b/>
      <sz val="11"/>
      <name val="Poppins"/>
      <family val="2"/>
      <scheme val="minor"/>
    </font>
    <font>
      <sz val="11"/>
      <name val="Poppins"/>
      <family val="2"/>
      <scheme val="minor"/>
    </font>
    <font>
      <b/>
      <sz val="11"/>
      <color rgb="FFF2F2F2"/>
      <name val="Poppins"/>
      <family val="2"/>
      <scheme val="minor"/>
    </font>
    <font>
      <b/>
      <vertAlign val="subscript"/>
      <sz val="11"/>
      <name val="Poppins"/>
      <family val="2"/>
      <scheme val="minor"/>
    </font>
    <font>
      <b/>
      <vertAlign val="subscript"/>
      <sz val="11"/>
      <color theme="0"/>
      <name val="Poppins"/>
      <family val="2"/>
      <scheme val="minor"/>
    </font>
    <font>
      <sz val="11"/>
      <color rgb="FF000000"/>
      <name val="Poppins"/>
      <family val="2"/>
      <scheme val="minor"/>
    </font>
    <font>
      <u/>
      <sz val="11"/>
      <color theme="10"/>
      <name val="Poppins"/>
      <family val="2"/>
      <scheme val="minor"/>
    </font>
    <font>
      <sz val="12"/>
      <color theme="1"/>
      <name val="Poppins"/>
      <family val="2"/>
      <scheme val="minor"/>
    </font>
    <font>
      <sz val="10"/>
      <color rgb="FF000000"/>
      <name val="Poppins"/>
      <family val="2"/>
      <scheme val="minor"/>
    </font>
    <font>
      <sz val="10"/>
      <color theme="1"/>
      <name val="Poppins"/>
      <family val="2"/>
      <scheme val="minor"/>
    </font>
    <font>
      <sz val="10"/>
      <color rgb="FF333333"/>
      <name val="Poppins"/>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
      <name val="Geneva"/>
      <family val="2"/>
    </font>
    <font>
      <i/>
      <sz val="11"/>
      <color indexed="23"/>
      <name val="Calibri"/>
      <family val="2"/>
    </font>
    <font>
      <u/>
      <sz val="12"/>
      <color theme="11"/>
      <name val="Poppins"/>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theme="10"/>
      <name val="Calibri"/>
      <family val="2"/>
    </font>
    <font>
      <u/>
      <sz val="10"/>
      <color indexed="12"/>
      <name val="Arial"/>
      <family val="2"/>
    </font>
    <font>
      <u/>
      <sz val="10"/>
      <color indexed="12"/>
      <name val="MS Sans Serif"/>
      <family val="2"/>
    </font>
    <font>
      <sz val="11"/>
      <color indexed="62"/>
      <name val="Calibri"/>
      <family val="2"/>
    </font>
    <font>
      <sz val="11"/>
      <color indexed="52"/>
      <name val="Calibri"/>
      <family val="2"/>
    </font>
    <font>
      <sz val="16"/>
      <color theme="0"/>
      <name val="Poppins"/>
    </font>
    <font>
      <sz val="12"/>
      <color theme="1"/>
      <name val="Poppins"/>
    </font>
    <font>
      <b/>
      <sz val="11"/>
      <name val="Calibri"/>
      <family val="2"/>
    </font>
    <font>
      <sz val="11"/>
      <color theme="1"/>
      <name val="Poppins"/>
      <family val="2"/>
      <scheme val="major"/>
    </font>
    <font>
      <sz val="20"/>
      <color theme="0"/>
      <name val="Poppins"/>
    </font>
    <font>
      <b/>
      <sz val="12"/>
      <color theme="0"/>
      <name val="Poppins"/>
    </font>
    <font>
      <b/>
      <sz val="12"/>
      <color theme="1"/>
      <name val="Poppins"/>
    </font>
    <font>
      <sz val="11"/>
      <color indexed="60"/>
      <name val="Calibri"/>
      <family val="2"/>
    </font>
    <font>
      <sz val="10"/>
      <name val="Times New Roman"/>
      <family val="1"/>
    </font>
    <font>
      <sz val="11"/>
      <color indexed="8"/>
      <name val="Poppins"/>
      <family val="2"/>
      <scheme val="minor"/>
    </font>
    <font>
      <sz val="10"/>
      <color theme="1"/>
      <name val="Arial Narrow"/>
      <family val="2"/>
    </font>
    <font>
      <sz val="9"/>
      <name val="Geneva"/>
    </font>
    <font>
      <sz val="10"/>
      <name val="SWISS"/>
    </font>
    <font>
      <sz val="10"/>
      <name val="MS Sans Serif"/>
    </font>
    <font>
      <sz val="10"/>
      <name val="P-AVGARD"/>
    </font>
    <font>
      <sz val="6"/>
      <name val="P-AVGARD"/>
    </font>
    <font>
      <sz val="10"/>
      <color theme="1"/>
      <name val="Arial"/>
      <family val="2"/>
    </font>
    <font>
      <b/>
      <sz val="11"/>
      <color indexed="63"/>
      <name val="Calibri"/>
      <family val="2"/>
    </font>
    <font>
      <sz val="9"/>
      <name val="Times New Roman"/>
      <family val="1"/>
    </font>
    <font>
      <b/>
      <sz val="18"/>
      <color indexed="56"/>
      <name val="Cambria"/>
      <family val="2"/>
    </font>
    <font>
      <b/>
      <sz val="11"/>
      <color indexed="8"/>
      <name val="Calibri"/>
      <family val="2"/>
    </font>
    <font>
      <sz val="11"/>
      <color indexed="10"/>
      <name val="Calibri"/>
      <family val="2"/>
    </font>
    <font>
      <sz val="20"/>
      <color theme="0"/>
      <name val="Poppins"/>
      <scheme val="minor"/>
    </font>
    <font>
      <sz val="12"/>
      <color theme="1"/>
      <name val="Poppins"/>
      <scheme val="minor"/>
    </font>
    <font>
      <sz val="16"/>
      <color theme="0"/>
      <name val="Poppins"/>
      <scheme val="minor"/>
    </font>
    <font>
      <b/>
      <sz val="12"/>
      <color theme="0"/>
      <name val="Poppins"/>
      <scheme val="minor"/>
    </font>
    <font>
      <sz val="10"/>
      <color theme="1"/>
      <name val="Poppins"/>
      <scheme val="minor"/>
    </font>
    <font>
      <sz val="11"/>
      <color theme="1"/>
      <name val="Poppins"/>
      <scheme val="minor"/>
    </font>
    <font>
      <vertAlign val="subscript"/>
      <sz val="11"/>
      <color theme="1"/>
      <name val="Poppins"/>
      <scheme val="minor"/>
    </font>
    <font>
      <sz val="11"/>
      <color rgb="FF000000"/>
      <name val="Poppins"/>
      <scheme val="minor"/>
    </font>
    <font>
      <sz val="12"/>
      <color rgb="FF000000"/>
      <name val="Poppins"/>
      <scheme val="minor"/>
    </font>
    <font>
      <b/>
      <sz val="11"/>
      <color rgb="FF000000"/>
      <name val="Poppins"/>
      <scheme val="minor"/>
    </font>
    <font>
      <sz val="11"/>
      <name val="Poppins"/>
      <scheme val="minor"/>
    </font>
    <font>
      <b/>
      <sz val="11"/>
      <color theme="0"/>
      <name val="Poppins"/>
      <scheme val="minor"/>
    </font>
    <font>
      <sz val="11"/>
      <color theme="0"/>
      <name val="Poppins"/>
      <scheme val="minor"/>
    </font>
    <font>
      <sz val="10"/>
      <color theme="0"/>
      <name val="Poppins"/>
      <scheme val="minor"/>
    </font>
    <font>
      <sz val="10"/>
      <name val="Poppins"/>
      <scheme val="minor"/>
    </font>
    <font>
      <b/>
      <vertAlign val="subscript"/>
      <sz val="11"/>
      <color theme="0"/>
      <name val="Poppins"/>
      <scheme val="minor"/>
    </font>
    <font>
      <sz val="10"/>
      <color rgb="FF000000"/>
      <name val="Poppins"/>
      <scheme val="minor"/>
    </font>
    <font>
      <b/>
      <sz val="10"/>
      <color theme="1"/>
      <name val="Poppins"/>
      <scheme val="minor"/>
    </font>
    <font>
      <u/>
      <sz val="11"/>
      <color rgb="FF000000"/>
      <name val="Poppins"/>
      <scheme val="minor"/>
    </font>
    <font>
      <u/>
      <sz val="11"/>
      <color theme="1"/>
      <name val="Poppins"/>
      <scheme val="minor"/>
    </font>
    <font>
      <u/>
      <sz val="11"/>
      <color theme="10"/>
      <name val="Poppins"/>
      <scheme val="minor"/>
    </font>
    <font>
      <sz val="12"/>
      <name val="Poppins"/>
      <scheme val="minor"/>
    </font>
    <font>
      <vertAlign val="subscript"/>
      <sz val="12"/>
      <name val="Poppins"/>
      <scheme val="minor"/>
    </font>
    <font>
      <b/>
      <sz val="12"/>
      <color theme="1"/>
      <name val="Poppins"/>
      <scheme val="minor"/>
    </font>
    <font>
      <vertAlign val="subscript"/>
      <sz val="12"/>
      <color theme="1"/>
      <name val="Poppins"/>
      <scheme val="minor"/>
    </font>
    <font>
      <sz val="12"/>
      <color indexed="63"/>
      <name val="Poppins"/>
      <scheme val="minor"/>
    </font>
    <font>
      <b/>
      <sz val="12"/>
      <name val="Poppins"/>
      <scheme val="minor"/>
    </font>
    <font>
      <i/>
      <sz val="12"/>
      <color indexed="63"/>
      <name val="Poppins"/>
      <scheme val="minor"/>
    </font>
  </fonts>
  <fills count="51">
    <fill>
      <patternFill patternType="none"/>
    </fill>
    <fill>
      <patternFill patternType="gray125"/>
    </fill>
    <fill>
      <patternFill patternType="solid">
        <fgColor theme="0"/>
        <bgColor indexed="64"/>
      </patternFill>
    </fill>
    <fill>
      <patternFill patternType="solid">
        <fgColor theme="0"/>
        <bgColor rgb="FF1E4E79"/>
      </patternFill>
    </fill>
    <fill>
      <patternFill patternType="solid">
        <fgColor theme="0"/>
        <bgColor rgb="FF7F7F7F"/>
      </patternFill>
    </fill>
    <fill>
      <patternFill patternType="solid">
        <fgColor theme="0" tint="-4.9989318521683403E-2"/>
        <bgColor rgb="FF7F7F7F"/>
      </patternFill>
    </fill>
    <fill>
      <patternFill patternType="solid">
        <fgColor theme="0"/>
        <bgColor rgb="FF2E75B5"/>
      </patternFill>
    </fill>
    <fill>
      <patternFill patternType="solid">
        <fgColor theme="0" tint="-0.14999847407452621"/>
        <bgColor rgb="FF7F7F7F"/>
      </patternFill>
    </fill>
    <fill>
      <patternFill patternType="solid">
        <fgColor theme="0" tint="-0.249977111117893"/>
        <bgColor rgb="FF7F7F7F"/>
      </patternFill>
    </fill>
    <fill>
      <patternFill patternType="solid">
        <fgColor theme="0" tint="-0.499984740745262"/>
        <bgColor rgb="FF7F7F7F"/>
      </patternFill>
    </fill>
    <fill>
      <patternFill patternType="solid">
        <fgColor theme="0" tint="-0.34998626667073579"/>
        <bgColor rgb="FF7F7F7F"/>
      </patternFill>
    </fill>
    <fill>
      <patternFill patternType="solid">
        <fgColor theme="1" tint="0.34998626667073579"/>
        <bgColor rgb="FF7F7F7F"/>
      </patternFill>
    </fill>
    <fill>
      <patternFill patternType="solid">
        <fgColor theme="0" tint="-0.499984740745262"/>
        <bgColor indexed="64"/>
      </patternFill>
    </fill>
    <fill>
      <patternFill patternType="solid">
        <fgColor theme="4" tint="0.59999389629810485"/>
        <bgColor rgb="FFFFFFFF"/>
      </patternFill>
    </fill>
    <fill>
      <patternFill patternType="solid">
        <fgColor theme="0"/>
        <bgColor rgb="FF000000"/>
      </patternFill>
    </fill>
    <fill>
      <patternFill patternType="solid">
        <fgColor theme="0"/>
        <bgColor rgb="FFFFFFFF"/>
      </patternFill>
    </fill>
    <fill>
      <patternFill patternType="solid">
        <fgColor theme="4"/>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1"/>
        <bgColor indexed="64"/>
      </patternFill>
    </fill>
    <fill>
      <patternFill patternType="solid">
        <fgColor theme="0"/>
        <bgColor rgb="FFD78D2A"/>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F4A81D"/>
        <bgColor rgb="FFD78D2A"/>
      </patternFill>
    </fill>
    <fill>
      <patternFill patternType="solid">
        <fgColor theme="4" tint="0.79998168889431442"/>
        <bgColor indexed="64"/>
      </patternFill>
    </fill>
    <fill>
      <patternFill patternType="solid">
        <fgColor rgb="FF496884"/>
        <bgColor indexed="64"/>
      </patternFill>
    </fill>
    <fill>
      <patternFill patternType="solid">
        <fgColor rgb="FF496884"/>
        <bgColor rgb="FF496884"/>
      </patternFill>
    </fill>
    <fill>
      <patternFill patternType="solid">
        <fgColor rgb="FF214052"/>
        <bgColor indexed="64"/>
      </patternFill>
    </fill>
    <fill>
      <patternFill patternType="solid">
        <fgColor rgb="FFD8D9DA"/>
        <bgColor indexed="64"/>
      </patternFill>
    </fill>
    <fill>
      <patternFill patternType="solid">
        <fgColor indexed="43"/>
      </patternFill>
    </fill>
    <fill>
      <patternFill patternType="solid">
        <fgColor indexed="26"/>
      </patternFill>
    </fill>
  </fills>
  <borders count="72">
    <border>
      <left/>
      <right/>
      <top/>
      <bottom/>
      <diagonal/>
    </border>
    <border>
      <left style="thin">
        <color indexed="64"/>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indexed="64"/>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indexed="64"/>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indexed="64"/>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medium">
        <color indexed="64"/>
      </left>
      <right/>
      <top style="medium">
        <color indexed="64"/>
      </top>
      <bottom/>
      <diagonal/>
    </border>
    <border>
      <left/>
      <right style="thin">
        <color auto="1"/>
      </right>
      <top style="medium">
        <color auto="1"/>
      </top>
      <bottom/>
      <diagonal/>
    </border>
    <border>
      <left style="medium">
        <color indexed="64"/>
      </left>
      <right/>
      <top/>
      <bottom style="medium">
        <color auto="1"/>
      </bottom>
      <diagonal/>
    </border>
    <border>
      <left/>
      <right style="thin">
        <color auto="1"/>
      </right>
      <top/>
      <bottom style="medium">
        <color auto="1"/>
      </bottom>
      <diagonal/>
    </border>
    <border>
      <left style="medium">
        <color auto="1"/>
      </left>
      <right style="thin">
        <color auto="1"/>
      </right>
      <top style="thin">
        <color auto="1"/>
      </top>
      <bottom style="medium">
        <color auto="1"/>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medium">
        <color auto="1"/>
      </bottom>
      <diagonal/>
    </border>
    <border>
      <left style="thin">
        <color auto="1"/>
      </left>
      <right style="medium">
        <color indexed="64"/>
      </right>
      <top style="medium">
        <color auto="1"/>
      </top>
      <bottom style="medium">
        <color auto="1"/>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thin">
        <color auto="1"/>
      </right>
      <top style="medium">
        <color auto="1"/>
      </top>
      <bottom/>
      <diagonal/>
    </border>
    <border>
      <left style="medium">
        <color auto="1"/>
      </left>
      <right/>
      <top/>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medium">
        <color auto="1"/>
      </left>
      <right/>
      <top/>
      <bottom style="thin">
        <color auto="1"/>
      </bottom>
      <diagonal/>
    </border>
    <border>
      <left/>
      <right/>
      <top style="thin">
        <color indexed="64"/>
      </top>
      <bottom style="medium">
        <color indexed="64"/>
      </bottom>
      <diagonal/>
    </border>
    <border>
      <left/>
      <right/>
      <top style="medium">
        <color indexed="64"/>
      </top>
      <bottom/>
      <diagonal/>
    </border>
    <border>
      <left/>
      <right style="medium">
        <color auto="1"/>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rgb="FF00000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right style="thin">
        <color auto="1"/>
      </right>
      <top style="thin">
        <color auto="1"/>
      </top>
      <bottom style="medium">
        <color indexed="64"/>
      </bottom>
      <diagonal/>
    </border>
    <border>
      <left style="thin">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164">
    <xf numFmtId="0" fontId="0" fillId="2" borderId="0"/>
    <xf numFmtId="43" fontId="3" fillId="0" borderId="0" applyFont="0" applyFill="0" applyBorder="0" applyAlignment="0" applyProtection="0"/>
    <xf numFmtId="9" fontId="3" fillId="0" borderId="0" applyFont="0" applyFill="0" applyBorder="0" applyAlignment="0" applyProtection="0"/>
    <xf numFmtId="0" fontId="45" fillId="45" borderId="0">
      <alignment horizontal="left" vertical="center"/>
    </xf>
    <xf numFmtId="0" fontId="41" fillId="43" borderId="0" applyAlignment="0">
      <alignment horizontal="left"/>
    </xf>
    <xf numFmtId="0" fontId="6" fillId="0" borderId="0"/>
    <xf numFmtId="0" fontId="23" fillId="0" borderId="0"/>
    <xf numFmtId="0" fontId="46" fillId="46" borderId="9"/>
    <xf numFmtId="0" fontId="46" fillId="47" borderId="9">
      <alignment horizontal="center" vertical="center"/>
    </xf>
    <xf numFmtId="0" fontId="42" fillId="2" borderId="0" applyBorder="0">
      <alignment wrapText="1"/>
    </xf>
    <xf numFmtId="0" fontId="36" fillId="0" borderId="0" applyNumberFormat="0" applyFill="0" applyBorder="0" applyAlignment="0" applyProtection="0"/>
    <xf numFmtId="0" fontId="23" fillId="0" borderId="0"/>
    <xf numFmtId="0" fontId="23" fillId="0" borderId="0"/>
    <xf numFmtId="43" fontId="19" fillId="0" borderId="0" applyFont="0" applyFill="0" applyBorder="0" applyAlignment="0" applyProtection="0"/>
    <xf numFmtId="0" fontId="19" fillId="0" borderId="0"/>
    <xf numFmtId="43" fontId="6" fillId="0" borderId="0" applyFont="0" applyFill="0" applyBorder="0" applyAlignment="0" applyProtection="0"/>
    <xf numFmtId="9" fontId="6" fillId="0" borderId="0" applyFont="0" applyFill="0" applyBorder="0" applyAlignment="0" applyProtection="0"/>
    <xf numFmtId="0" fontId="31" fillId="2" borderId="0" applyNumberFormat="0" applyFill="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2"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40" borderId="0" applyNumberFormat="0" applyBorder="0" applyAlignment="0" applyProtection="0"/>
    <xf numFmtId="0" fontId="26" fillId="24" borderId="0" applyNumberFormat="0" applyBorder="0" applyAlignment="0" applyProtection="0"/>
    <xf numFmtId="0" fontId="27" fillId="41" borderId="50" applyNumberFormat="0" applyAlignment="0" applyProtection="0"/>
    <xf numFmtId="0" fontId="28" fillId="42" borderId="51"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4" fontId="29" fillId="0" borderId="0" applyFont="0" applyFill="0" applyBorder="0" applyAlignment="0" applyProtection="0"/>
    <xf numFmtId="44" fontId="23" fillId="0" borderId="0" applyFont="0" applyFill="0" applyBorder="0" applyAlignment="0" applyProtection="0"/>
    <xf numFmtId="44" fontId="3"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0" fontId="30" fillId="0" borderId="0" applyNumberFormat="0" applyFill="0" applyBorder="0" applyAlignment="0" applyProtection="0"/>
    <xf numFmtId="0" fontId="32" fillId="25" borderId="0" applyNumberFormat="0" applyBorder="0" applyAlignment="0" applyProtection="0"/>
    <xf numFmtId="0" fontId="33" fillId="0" borderId="52" applyNumberFormat="0" applyFill="0" applyAlignment="0" applyProtection="0"/>
    <xf numFmtId="0" fontId="34" fillId="0" borderId="53" applyNumberFormat="0" applyFill="0" applyAlignment="0" applyProtection="0"/>
    <xf numFmtId="0" fontId="35" fillId="0" borderId="54" applyNumberFormat="0" applyFill="0" applyAlignment="0" applyProtection="0"/>
    <xf numFmtId="0" fontId="35" fillId="0" borderId="0" applyNumberFormat="0" applyFill="0" applyBorder="0" applyAlignment="0" applyProtection="0"/>
    <xf numFmtId="0" fontId="37" fillId="0" borderId="0" applyNumberFormat="0" applyFill="0" applyBorder="0" applyAlignment="0" applyProtection="0">
      <alignment vertical="top"/>
      <protection locked="0"/>
    </xf>
    <xf numFmtId="0" fontId="38" fillId="0" borderId="0" applyNumberFormat="0" applyFill="0" applyBorder="0" applyAlignment="0" applyProtection="0"/>
    <xf numFmtId="0" fontId="18" fillId="0" borderId="0" applyNumberFormat="0" applyFill="0" applyBorder="0" applyAlignment="0" applyProtection="0"/>
    <xf numFmtId="0" fontId="39" fillId="28" borderId="50" applyNumberFormat="0" applyAlignment="0" applyProtection="0"/>
    <xf numFmtId="0" fontId="40" fillId="0" borderId="55" applyNumberFormat="0" applyFill="0" applyAlignment="0" applyProtection="0"/>
    <xf numFmtId="0" fontId="3" fillId="2" borderId="0" applyBorder="0">
      <alignment wrapText="1"/>
    </xf>
    <xf numFmtId="0" fontId="43" fillId="2" borderId="56">
      <alignment horizontal="left" wrapText="1"/>
    </xf>
    <xf numFmtId="0" fontId="3" fillId="44" borderId="0"/>
    <xf numFmtId="0" fontId="44" fillId="44" borderId="9">
      <alignment horizontal="center" vertical="center" wrapText="1"/>
    </xf>
    <xf numFmtId="0" fontId="47" fillId="48" borderId="9">
      <alignment horizontal="left" vertical="center"/>
    </xf>
    <xf numFmtId="0" fontId="48" fillId="49" borderId="0" applyNumberFormat="0" applyBorder="0" applyAlignment="0" applyProtection="0"/>
    <xf numFmtId="0" fontId="2" fillId="0" borderId="0"/>
    <xf numFmtId="0" fontId="2" fillId="0" borderId="0"/>
    <xf numFmtId="0" fontId="49" fillId="0" borderId="0">
      <alignment vertical="top"/>
    </xf>
    <xf numFmtId="0" fontId="6" fillId="0" borderId="0"/>
    <xf numFmtId="0" fontId="23" fillId="0" borderId="0"/>
    <xf numFmtId="0" fontId="50" fillId="0" borderId="0"/>
    <xf numFmtId="0" fontId="6" fillId="2" borderId="0"/>
    <xf numFmtId="0" fontId="2" fillId="0" borderId="0"/>
    <xf numFmtId="0" fontId="6" fillId="0" borderId="0" applyFill="0"/>
    <xf numFmtId="0" fontId="2" fillId="0" borderId="0"/>
    <xf numFmtId="0" fontId="2" fillId="0" borderId="0"/>
    <xf numFmtId="0" fontId="2" fillId="0" borderId="0"/>
    <xf numFmtId="0" fontId="23" fillId="0" borderId="0"/>
    <xf numFmtId="0" fontId="51" fillId="0" borderId="0"/>
    <xf numFmtId="0" fontId="52" fillId="0" borderId="0"/>
    <xf numFmtId="0" fontId="53" fillId="0" borderId="0"/>
    <xf numFmtId="0" fontId="5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alignment wrapText="1"/>
    </xf>
    <xf numFmtId="0" fontId="50" fillId="0" borderId="0"/>
    <xf numFmtId="0" fontId="23" fillId="0" borderId="0"/>
    <xf numFmtId="37" fontId="55" fillId="0" borderId="0"/>
    <xf numFmtId="0" fontId="2" fillId="0" borderId="0"/>
    <xf numFmtId="37" fontId="56" fillId="0" borderId="0"/>
    <xf numFmtId="0" fontId="23" fillId="0" borderId="0"/>
    <xf numFmtId="0" fontId="56" fillId="0" borderId="0"/>
    <xf numFmtId="0" fontId="57" fillId="0" borderId="0"/>
    <xf numFmtId="0" fontId="23" fillId="0" borderId="0" applyNumberFormat="0" applyFill="0" applyBorder="0" applyAlignment="0" applyProtection="0"/>
    <xf numFmtId="0" fontId="2" fillId="22" borderId="49" applyNumberFormat="0" applyFont="0" applyAlignment="0" applyProtection="0"/>
    <xf numFmtId="0" fontId="23" fillId="50" borderId="57" applyNumberFormat="0" applyFont="0" applyAlignment="0" applyProtection="0"/>
    <xf numFmtId="0" fontId="58" fillId="41" borderId="58" applyNumberFormat="0" applyAlignment="0" applyProtection="0"/>
    <xf numFmtId="9" fontId="2" fillId="0" borderId="0" applyFont="0" applyFill="0" applyBorder="0" applyAlignment="0" applyProtection="0"/>
    <xf numFmtId="9" fontId="23"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59" applyNumberFormat="0" applyFill="0" applyAlignment="0" applyProtection="0"/>
    <xf numFmtId="0" fontId="62" fillId="0" borderId="0" applyNumberFormat="0" applyFill="0" applyBorder="0" applyAlignment="0" applyProtection="0"/>
  </cellStyleXfs>
  <cellXfs count="343">
    <xf numFmtId="0" fontId="0" fillId="2" borderId="0" xfId="0"/>
    <xf numFmtId="0" fontId="45" fillId="45" borderId="0" xfId="3">
      <alignment horizontal="left" vertical="center"/>
    </xf>
    <xf numFmtId="0" fontId="3" fillId="2" borderId="0" xfId="0" applyFont="1" applyFill="1" applyAlignment="1">
      <alignment vertical="center"/>
    </xf>
    <xf numFmtId="0" fontId="41" fillId="43" borderId="0" xfId="4" applyAlignment="1"/>
    <xf numFmtId="0" fontId="7" fillId="2" borderId="0" xfId="5" applyFont="1" applyFill="1"/>
    <xf numFmtId="0" fontId="8" fillId="3" borderId="0" xfId="6" applyFont="1" applyFill="1" applyAlignment="1">
      <alignment horizontal="left" vertical="center"/>
    </xf>
    <xf numFmtId="0" fontId="8" fillId="3" borderId="0" xfId="6" applyFont="1" applyFill="1" applyAlignment="1">
      <alignment horizontal="center" vertical="center"/>
    </xf>
    <xf numFmtId="0" fontId="8" fillId="3" borderId="0" xfId="6" applyFont="1" applyFill="1" applyAlignment="1">
      <alignment vertical="center"/>
    </xf>
    <xf numFmtId="0" fontId="10" fillId="2" borderId="0" xfId="0" applyFont="1" applyFill="1" applyAlignment="1">
      <alignment vertical="center" wrapText="1"/>
    </xf>
    <xf numFmtId="4" fontId="3" fillId="2" borderId="0" xfId="0" applyNumberFormat="1" applyFont="1" applyFill="1" applyAlignment="1">
      <alignment horizontal="center" vertical="center"/>
    </xf>
    <xf numFmtId="0" fontId="11" fillId="2" borderId="0" xfId="6" applyFont="1" applyFill="1"/>
    <xf numFmtId="0" fontId="11" fillId="0" borderId="0" xfId="6" applyFont="1"/>
    <xf numFmtId="0" fontId="5" fillId="2" borderId="0" xfId="0" applyFont="1" applyFill="1" applyAlignment="1">
      <alignment vertical="center"/>
    </xf>
    <xf numFmtId="3" fontId="13" fillId="2" borderId="9" xfId="0" applyNumberFormat="1" applyFont="1" applyBorder="1" applyAlignment="1">
      <alignment horizontal="center" vertical="center"/>
    </xf>
    <xf numFmtId="3" fontId="13" fillId="2" borderId="5" xfId="0" applyNumberFormat="1" applyFont="1" applyBorder="1" applyAlignment="1">
      <alignment horizontal="center" vertical="center"/>
    </xf>
    <xf numFmtId="3" fontId="13" fillId="2" borderId="10" xfId="0" applyNumberFormat="1" applyFont="1" applyBorder="1" applyAlignment="1">
      <alignment horizontal="center" vertical="center"/>
    </xf>
    <xf numFmtId="3" fontId="13" fillId="2" borderId="12" xfId="0" applyNumberFormat="1" applyFont="1" applyBorder="1" applyAlignment="1">
      <alignment horizontal="center" vertical="center"/>
    </xf>
    <xf numFmtId="3" fontId="9" fillId="2" borderId="5" xfId="0" applyNumberFormat="1" applyFont="1" applyBorder="1" applyAlignment="1">
      <alignment horizontal="center" vertical="center"/>
    </xf>
    <xf numFmtId="3" fontId="9" fillId="2" borderId="9" xfId="0" applyNumberFormat="1" applyFont="1" applyBorder="1" applyAlignment="1">
      <alignment horizontal="center" vertical="center"/>
    </xf>
    <xf numFmtId="3" fontId="13" fillId="2" borderId="16" xfId="0" applyNumberFormat="1" applyFont="1" applyBorder="1" applyAlignment="1">
      <alignment horizontal="center" vertical="center"/>
    </xf>
    <xf numFmtId="0" fontId="4" fillId="12" borderId="5" xfId="0" applyFont="1" applyFill="1" applyBorder="1" applyAlignment="1">
      <alignment horizontal="left" vertical="center" wrapText="1"/>
    </xf>
    <xf numFmtId="3" fontId="4" fillId="12" borderId="5" xfId="0" applyNumberFormat="1" applyFont="1" applyFill="1" applyBorder="1" applyAlignment="1">
      <alignment horizontal="center" vertical="center"/>
    </xf>
    <xf numFmtId="0" fontId="13" fillId="2" borderId="5" xfId="0" applyFont="1" applyFill="1" applyBorder="1" applyAlignment="1">
      <alignment horizontal="left" vertical="center" wrapText="1"/>
    </xf>
    <xf numFmtId="9" fontId="13" fillId="0" borderId="5" xfId="2" applyFont="1" applyFill="1" applyBorder="1" applyAlignment="1">
      <alignment horizontal="center" vertical="center"/>
    </xf>
    <xf numFmtId="0" fontId="13" fillId="2" borderId="9" xfId="0" applyFont="1" applyFill="1" applyBorder="1" applyAlignment="1">
      <alignment horizontal="left" vertical="center" wrapText="1"/>
    </xf>
    <xf numFmtId="9" fontId="13" fillId="0" borderId="9" xfId="2" applyFont="1" applyFill="1" applyBorder="1" applyAlignment="1">
      <alignment horizontal="center" vertical="center"/>
    </xf>
    <xf numFmtId="0" fontId="13" fillId="2" borderId="10" xfId="0" applyFont="1" applyFill="1" applyBorder="1" applyAlignment="1">
      <alignment horizontal="left" vertical="center" wrapText="1"/>
    </xf>
    <xf numFmtId="9" fontId="13" fillId="0" borderId="10" xfId="2" applyFont="1" applyFill="1" applyBorder="1" applyAlignment="1">
      <alignment horizontal="center" vertical="center"/>
    </xf>
    <xf numFmtId="164" fontId="13" fillId="0" borderId="10" xfId="2" applyNumberFormat="1" applyFont="1" applyFill="1" applyBorder="1" applyAlignment="1">
      <alignment horizontal="center" vertical="center"/>
    </xf>
    <xf numFmtId="0" fontId="0" fillId="2" borderId="0" xfId="0" applyFill="1"/>
    <xf numFmtId="0" fontId="20" fillId="14" borderId="0" xfId="11" applyFont="1" applyFill="1" applyAlignment="1">
      <alignment wrapText="1"/>
    </xf>
    <xf numFmtId="0" fontId="20" fillId="2" borderId="0" xfId="11" applyFont="1" applyFill="1" applyAlignment="1">
      <alignment wrapText="1"/>
    </xf>
    <xf numFmtId="0" fontId="21" fillId="2" borderId="0" xfId="11" applyFont="1" applyFill="1"/>
    <xf numFmtId="0" fontId="17" fillId="14" borderId="0" xfId="11" applyFont="1" applyFill="1" applyAlignment="1">
      <alignment wrapText="1"/>
    </xf>
    <xf numFmtId="0" fontId="46" fillId="47" borderId="2" xfId="8" applyBorder="1">
      <alignment horizontal="center" vertical="center"/>
    </xf>
    <xf numFmtId="0" fontId="36" fillId="0" borderId="6" xfId="10" applyBorder="1" applyAlignment="1">
      <alignment vertical="center"/>
    </xf>
    <xf numFmtId="0" fontId="36" fillId="14" borderId="9" xfId="10" applyFill="1" applyBorder="1" applyAlignment="1">
      <alignment vertical="center" wrapText="1"/>
    </xf>
    <xf numFmtId="0" fontId="17" fillId="2" borderId="0" xfId="11" applyFont="1" applyFill="1" applyAlignment="1">
      <alignment wrapText="1"/>
    </xf>
    <xf numFmtId="3" fontId="13" fillId="2" borderId="30" xfId="0" applyNumberFormat="1" applyFont="1" applyBorder="1" applyAlignment="1">
      <alignment horizontal="center" vertical="center"/>
    </xf>
    <xf numFmtId="3" fontId="13" fillId="2" borderId="31" xfId="0" applyNumberFormat="1" applyFont="1" applyBorder="1" applyAlignment="1">
      <alignment horizontal="center" vertical="center"/>
    </xf>
    <xf numFmtId="3" fontId="13" fillId="2" borderId="32" xfId="0" applyNumberFormat="1" applyFont="1" applyBorder="1" applyAlignment="1">
      <alignment horizontal="center" vertical="center"/>
    </xf>
    <xf numFmtId="3" fontId="9" fillId="2" borderId="30" xfId="0" applyNumberFormat="1" applyFont="1" applyBorder="1" applyAlignment="1">
      <alignment horizontal="center" vertical="center"/>
    </xf>
    <xf numFmtId="3" fontId="9" fillId="2" borderId="31" xfId="0" applyNumberFormat="1" applyFont="1" applyBorder="1" applyAlignment="1">
      <alignment horizontal="center" vertical="center"/>
    </xf>
    <xf numFmtId="3" fontId="13" fillId="2" borderId="33" xfId="0" applyNumberFormat="1" applyFont="1" applyBorder="1" applyAlignment="1">
      <alignment horizontal="center" vertical="center"/>
    </xf>
    <xf numFmtId="9" fontId="13" fillId="0" borderId="30" xfId="2" applyFont="1" applyFill="1" applyBorder="1" applyAlignment="1">
      <alignment horizontal="center" vertical="center"/>
    </xf>
    <xf numFmtId="9" fontId="13" fillId="0" borderId="31" xfId="2" applyFont="1" applyFill="1" applyBorder="1" applyAlignment="1">
      <alignment horizontal="center" vertical="center"/>
    </xf>
    <xf numFmtId="9" fontId="13" fillId="0" borderId="34" xfId="2" applyFont="1" applyFill="1" applyBorder="1" applyAlignment="1">
      <alignment horizontal="center" vertical="center"/>
    </xf>
    <xf numFmtId="164" fontId="13" fillId="0" borderId="34" xfId="2" applyNumberFormat="1" applyFont="1" applyFill="1" applyBorder="1" applyAlignment="1">
      <alignment horizontal="center" vertical="center"/>
    </xf>
    <xf numFmtId="0" fontId="17" fillId="2" borderId="0" xfId="11" applyFont="1" applyFill="1" applyAlignment="1">
      <alignment wrapText="1"/>
    </xf>
    <xf numFmtId="3" fontId="13" fillId="2" borderId="6" xfId="0" applyNumberFormat="1" applyFont="1" applyBorder="1" applyAlignment="1">
      <alignment horizontal="center" vertical="center"/>
    </xf>
    <xf numFmtId="3" fontId="13" fillId="2" borderId="36" xfId="0" applyNumberFormat="1" applyFont="1" applyBorder="1" applyAlignment="1">
      <alignment horizontal="center" vertical="center"/>
    </xf>
    <xf numFmtId="0" fontId="13" fillId="6" borderId="39" xfId="6" applyFont="1" applyFill="1" applyBorder="1" applyAlignment="1">
      <alignment horizontal="left" vertical="center" wrapText="1"/>
    </xf>
    <xf numFmtId="0" fontId="12" fillId="8" borderId="38" xfId="6" applyFont="1" applyFill="1" applyBorder="1" applyAlignment="1">
      <alignment horizontal="center" vertical="center" wrapText="1"/>
    </xf>
    <xf numFmtId="0" fontId="13" fillId="6" borderId="3" xfId="6" applyFont="1" applyFill="1" applyBorder="1" applyAlignment="1">
      <alignment horizontal="left" vertical="center" wrapText="1"/>
    </xf>
    <xf numFmtId="0" fontId="13" fillId="6" borderId="24" xfId="6" applyFont="1" applyFill="1" applyBorder="1" applyAlignment="1">
      <alignment horizontal="left" vertical="center" wrapText="1"/>
    </xf>
    <xf numFmtId="0" fontId="13" fillId="6" borderId="29" xfId="6" applyFont="1" applyFill="1" applyBorder="1" applyAlignment="1">
      <alignment horizontal="left" vertical="center" wrapText="1"/>
    </xf>
    <xf numFmtId="0" fontId="13" fillId="6" borderId="40" xfId="6" applyFont="1" applyFill="1" applyBorder="1" applyAlignment="1">
      <alignment horizontal="left" vertical="center" wrapText="1"/>
    </xf>
    <xf numFmtId="0" fontId="13" fillId="6" borderId="20" xfId="6" applyFont="1" applyFill="1" applyBorder="1" applyAlignment="1">
      <alignment horizontal="left" vertical="center" wrapText="1"/>
    </xf>
    <xf numFmtId="0" fontId="4" fillId="10" borderId="11" xfId="6" applyFont="1" applyFill="1" applyBorder="1" applyAlignment="1">
      <alignment horizontal="center" vertical="center" wrapText="1"/>
    </xf>
    <xf numFmtId="0" fontId="13" fillId="6" borderId="13" xfId="6" applyFont="1" applyFill="1" applyBorder="1" applyAlignment="1">
      <alignment horizontal="left" vertical="center" wrapText="1"/>
    </xf>
    <xf numFmtId="0" fontId="13" fillId="6" borderId="35" xfId="6" applyFont="1" applyFill="1" applyBorder="1" applyAlignment="1">
      <alignment horizontal="left" vertical="center" wrapText="1"/>
    </xf>
    <xf numFmtId="0" fontId="13" fillId="6" borderId="15" xfId="6" applyFont="1" applyFill="1" applyBorder="1" applyAlignment="1">
      <alignment horizontal="left" vertical="center" wrapText="1"/>
    </xf>
    <xf numFmtId="0" fontId="13" fillId="6" borderId="8" xfId="6" applyFont="1" applyFill="1" applyBorder="1" applyAlignment="1">
      <alignment horizontal="left" vertical="center" wrapText="1"/>
    </xf>
    <xf numFmtId="0" fontId="13" fillId="6" borderId="18" xfId="6" applyFont="1" applyFill="1" applyBorder="1" applyAlignment="1">
      <alignment horizontal="left" vertical="center" wrapText="1"/>
    </xf>
    <xf numFmtId="4" fontId="3" fillId="2" borderId="9" xfId="0" applyNumberFormat="1" applyFont="1" applyFill="1" applyBorder="1" applyAlignment="1">
      <alignment horizontal="left" vertical="center"/>
    </xf>
    <xf numFmtId="3" fontId="13" fillId="2" borderId="5" xfId="0" applyNumberFormat="1" applyFont="1" applyFill="1" applyBorder="1" applyAlignment="1">
      <alignment horizontal="center" vertical="center"/>
    </xf>
    <xf numFmtId="3" fontId="13" fillId="2" borderId="9" xfId="0" applyNumberFormat="1" applyFont="1" applyFill="1" applyBorder="1" applyAlignment="1">
      <alignment horizontal="center" vertical="center"/>
    </xf>
    <xf numFmtId="0" fontId="9" fillId="6" borderId="13" xfId="6" applyFont="1" applyFill="1" applyBorder="1" applyAlignment="1">
      <alignment horizontal="left" vertical="center" wrapText="1"/>
    </xf>
    <xf numFmtId="0" fontId="9" fillId="6" borderId="15" xfId="6" applyFont="1" applyFill="1" applyBorder="1" applyAlignment="1">
      <alignment horizontal="left" vertical="center" wrapText="1"/>
    </xf>
    <xf numFmtId="0" fontId="13" fillId="6" borderId="21" xfId="6" applyFont="1" applyFill="1" applyBorder="1" applyAlignment="1">
      <alignment horizontal="left" vertical="center" wrapText="1"/>
    </xf>
    <xf numFmtId="0" fontId="63" fillId="45" borderId="0" xfId="3" applyFont="1">
      <alignment horizontal="left" vertical="center"/>
    </xf>
    <xf numFmtId="0" fontId="64" fillId="2" borderId="0" xfId="9" applyFont="1" applyAlignment="1">
      <alignment vertical="center" wrapText="1"/>
    </xf>
    <xf numFmtId="0" fontId="64" fillId="2" borderId="0" xfId="9" applyFont="1" applyFill="1" applyAlignment="1">
      <alignment vertical="center" wrapText="1"/>
    </xf>
    <xf numFmtId="0" fontId="65" fillId="43" borderId="0" xfId="4" applyFont="1" applyAlignment="1">
      <alignment vertical="center"/>
    </xf>
    <xf numFmtId="0" fontId="65" fillId="43" borderId="0" xfId="4" applyFont="1" applyAlignment="1">
      <alignment vertical="center" wrapText="1"/>
    </xf>
    <xf numFmtId="0" fontId="67" fillId="2" borderId="0" xfId="0" applyFont="1" applyFill="1" applyAlignment="1">
      <alignment vertical="center"/>
    </xf>
    <xf numFmtId="4" fontId="68" fillId="2" borderId="9" xfId="0" applyNumberFormat="1" applyFont="1" applyBorder="1" applyAlignment="1">
      <alignment horizontal="center" vertical="center" wrapText="1"/>
    </xf>
    <xf numFmtId="0" fontId="68" fillId="2" borderId="9" xfId="0" applyFont="1" applyBorder="1" applyAlignment="1">
      <alignment horizontal="center" vertical="center" wrapText="1"/>
    </xf>
    <xf numFmtId="1" fontId="68" fillId="2" borderId="9" xfId="0" applyNumberFormat="1" applyFont="1" applyBorder="1" applyAlignment="1">
      <alignment horizontal="center" vertical="center" wrapText="1"/>
    </xf>
    <xf numFmtId="0" fontId="67" fillId="2" borderId="0" xfId="0" applyFont="1" applyAlignment="1">
      <alignment vertical="center"/>
    </xf>
    <xf numFmtId="0" fontId="66" fillId="47" borderId="9" xfId="8" applyFont="1" applyBorder="1">
      <alignment horizontal="center" vertical="center"/>
    </xf>
    <xf numFmtId="3" fontId="68" fillId="2" borderId="9" xfId="0" applyNumberFormat="1" applyFont="1" applyBorder="1" applyAlignment="1">
      <alignment horizontal="center" vertical="center" wrapText="1"/>
    </xf>
    <xf numFmtId="0" fontId="68" fillId="2" borderId="9" xfId="0" applyFont="1" applyFill="1" applyBorder="1" applyAlignment="1">
      <alignment horizontal="center" vertical="center" wrapText="1"/>
    </xf>
    <xf numFmtId="3" fontId="68" fillId="2" borderId="9" xfId="0" applyNumberFormat="1" applyFont="1" applyFill="1" applyBorder="1" applyAlignment="1">
      <alignment horizontal="center" vertical="center" wrapText="1"/>
    </xf>
    <xf numFmtId="1" fontId="68" fillId="2" borderId="9" xfId="0" applyNumberFormat="1" applyFont="1" applyFill="1" applyBorder="1" applyAlignment="1">
      <alignment horizontal="center" vertical="center" wrapText="1"/>
    </xf>
    <xf numFmtId="0" fontId="70" fillId="13" borderId="9" xfId="0" applyFont="1" applyFill="1" applyBorder="1" applyAlignment="1">
      <alignment horizontal="center" vertical="center"/>
    </xf>
    <xf numFmtId="3" fontId="68" fillId="2" borderId="0" xfId="0" applyNumberFormat="1" applyFont="1" applyFill="1" applyAlignment="1">
      <alignment horizontal="center" vertical="center" wrapText="1"/>
    </xf>
    <xf numFmtId="0" fontId="68" fillId="2" borderId="0" xfId="0" applyFont="1" applyFill="1" applyAlignment="1">
      <alignment horizontal="center" vertical="center" wrapText="1"/>
    </xf>
    <xf numFmtId="1" fontId="68" fillId="2" borderId="0" xfId="0" applyNumberFormat="1" applyFont="1" applyFill="1" applyAlignment="1">
      <alignment horizontal="center" vertical="center" wrapText="1"/>
    </xf>
    <xf numFmtId="0" fontId="71" fillId="2" borderId="0" xfId="0" applyFont="1" applyFill="1" applyAlignment="1">
      <alignment vertical="center"/>
    </xf>
    <xf numFmtId="0" fontId="64" fillId="2" borderId="0" xfId="9" applyFont="1" applyBorder="1" applyAlignment="1">
      <alignment vertical="center" wrapText="1"/>
    </xf>
    <xf numFmtId="0" fontId="71" fillId="2" borderId="0" xfId="0" applyFont="1" applyFill="1"/>
    <xf numFmtId="0" fontId="72" fillId="2" borderId="0" xfId="6" applyFont="1" applyFill="1"/>
    <xf numFmtId="0" fontId="72" fillId="0" borderId="0" xfId="6" applyFont="1"/>
    <xf numFmtId="0" fontId="66" fillId="47" borderId="1" xfId="8" applyFont="1" applyBorder="1">
      <alignment horizontal="center" vertical="center"/>
    </xf>
    <xf numFmtId="37" fontId="71" fillId="0" borderId="6" xfId="1" applyNumberFormat="1" applyFont="1" applyFill="1" applyBorder="1" applyAlignment="1">
      <alignment horizontal="center"/>
    </xf>
    <xf numFmtId="37" fontId="71" fillId="0" borderId="9" xfId="1" applyNumberFormat="1" applyFont="1" applyFill="1" applyBorder="1" applyAlignment="1">
      <alignment horizontal="center"/>
    </xf>
    <xf numFmtId="165" fontId="71" fillId="0" borderId="9" xfId="1" applyNumberFormat="1" applyFont="1" applyBorder="1" applyAlignment="1">
      <alignment horizontal="center" vertical="center"/>
    </xf>
    <xf numFmtId="165" fontId="71" fillId="2" borderId="9" xfId="1" applyNumberFormat="1" applyFont="1" applyFill="1" applyBorder="1" applyAlignment="1">
      <alignment horizontal="center" vertical="center"/>
    </xf>
    <xf numFmtId="165" fontId="71" fillId="2" borderId="9" xfId="0" applyNumberFormat="1" applyFont="1" applyFill="1" applyBorder="1" applyAlignment="1">
      <alignment horizontal="center"/>
    </xf>
    <xf numFmtId="0" fontId="71" fillId="2" borderId="9" xfId="0" applyFont="1" applyFill="1" applyBorder="1" applyAlignment="1">
      <alignment horizontal="center"/>
    </xf>
    <xf numFmtId="9" fontId="71" fillId="2" borderId="9" xfId="2" applyFont="1" applyFill="1" applyBorder="1" applyAlignment="1">
      <alignment horizontal="center"/>
    </xf>
    <xf numFmtId="0" fontId="63" fillId="45" borderId="26" xfId="3" applyFont="1" applyBorder="1">
      <alignment horizontal="left" vertical="center"/>
    </xf>
    <xf numFmtId="0" fontId="65" fillId="43" borderId="1" xfId="4" applyFont="1" applyBorder="1" applyAlignment="1">
      <alignment vertical="center"/>
    </xf>
    <xf numFmtId="0" fontId="65" fillId="43" borderId="2" xfId="4" applyFont="1" applyBorder="1" applyAlignment="1">
      <alignment vertical="center" wrapText="1"/>
    </xf>
    <xf numFmtId="0" fontId="65" fillId="43" borderId="23" xfId="4" applyFont="1" applyBorder="1" applyAlignment="1">
      <alignment vertical="center" wrapText="1"/>
    </xf>
    <xf numFmtId="0" fontId="65" fillId="43" borderId="42" xfId="4" applyFont="1" applyBorder="1" applyAlignment="1">
      <alignment vertical="center" wrapText="1"/>
    </xf>
    <xf numFmtId="0" fontId="67" fillId="2" borderId="17" xfId="14" applyFont="1" applyFill="1" applyBorder="1"/>
    <xf numFmtId="0" fontId="67" fillId="2" borderId="43" xfId="14" applyFont="1" applyFill="1" applyBorder="1"/>
    <xf numFmtId="0" fontId="67" fillId="0" borderId="46" xfId="14" applyFont="1" applyBorder="1" applyAlignment="1">
      <alignment horizontal="center"/>
    </xf>
    <xf numFmtId="0" fontId="67" fillId="0" borderId="47" xfId="14" applyFont="1" applyBorder="1" applyAlignment="1">
      <alignment horizontal="center"/>
    </xf>
    <xf numFmtId="0" fontId="67" fillId="0" borderId="48" xfId="14" applyFont="1" applyBorder="1" applyAlignment="1">
      <alignment horizontal="center"/>
    </xf>
    <xf numFmtId="0" fontId="67" fillId="2" borderId="0" xfId="14" applyFont="1" applyFill="1" applyAlignment="1">
      <alignment horizontal="center"/>
    </xf>
    <xf numFmtId="0" fontId="67" fillId="2" borderId="0" xfId="14" applyFont="1" applyFill="1"/>
    <xf numFmtId="0" fontId="74" fillId="17" borderId="13" xfId="14" applyFont="1" applyFill="1" applyBorder="1" applyAlignment="1">
      <alignment horizontal="left" vertical="center" wrapText="1"/>
    </xf>
    <xf numFmtId="3" fontId="75" fillId="17" borderId="43" xfId="14" applyNumberFormat="1" applyFont="1" applyFill="1" applyBorder="1" applyAlignment="1">
      <alignment horizontal="center"/>
    </xf>
    <xf numFmtId="0" fontId="76" fillId="2" borderId="0" xfId="14" applyFont="1" applyFill="1"/>
    <xf numFmtId="166" fontId="77" fillId="2" borderId="0" xfId="15" applyNumberFormat="1" applyFont="1" applyFill="1"/>
    <xf numFmtId="0" fontId="74" fillId="17" borderId="35" xfId="14" applyFont="1" applyFill="1" applyBorder="1" applyAlignment="1">
      <alignment horizontal="left" vertical="center" wrapText="1"/>
    </xf>
    <xf numFmtId="3" fontId="75" fillId="17" borderId="0" xfId="14" applyNumberFormat="1" applyFont="1" applyFill="1" applyBorder="1" applyAlignment="1">
      <alignment horizontal="center"/>
    </xf>
    <xf numFmtId="3" fontId="75" fillId="17" borderId="44" xfId="14" applyNumberFormat="1" applyFont="1" applyFill="1" applyBorder="1" applyAlignment="1">
      <alignment horizontal="center"/>
    </xf>
    <xf numFmtId="0" fontId="74" fillId="17" borderId="15" xfId="14" applyFont="1" applyFill="1" applyBorder="1" applyAlignment="1">
      <alignment horizontal="left" vertical="center" wrapText="1"/>
    </xf>
    <xf numFmtId="9" fontId="75" fillId="17" borderId="0" xfId="16" applyFont="1" applyFill="1" applyBorder="1" applyAlignment="1">
      <alignment horizontal="center"/>
    </xf>
    <xf numFmtId="9" fontId="75" fillId="17" borderId="44" xfId="16" applyFont="1" applyFill="1" applyBorder="1" applyAlignment="1">
      <alignment horizontal="center"/>
    </xf>
    <xf numFmtId="9" fontId="77" fillId="2" borderId="0" xfId="16" applyFont="1" applyFill="1"/>
    <xf numFmtId="0" fontId="74" fillId="18" borderId="15" xfId="14" applyFont="1" applyFill="1" applyBorder="1" applyAlignment="1">
      <alignment horizontal="left" vertical="center" wrapText="1"/>
    </xf>
    <xf numFmtId="3" fontId="75" fillId="18" borderId="0" xfId="14" applyNumberFormat="1" applyFont="1" applyFill="1" applyBorder="1" applyAlignment="1">
      <alignment horizontal="center"/>
    </xf>
    <xf numFmtId="3" fontId="75" fillId="18" borderId="44" xfId="14" applyNumberFormat="1" applyFont="1" applyFill="1" applyBorder="1" applyAlignment="1">
      <alignment horizontal="center"/>
    </xf>
    <xf numFmtId="3" fontId="75" fillId="18" borderId="0" xfId="15" applyNumberFormat="1" applyFont="1" applyFill="1" applyBorder="1" applyAlignment="1">
      <alignment horizontal="center"/>
    </xf>
    <xf numFmtId="3" fontId="75" fillId="18" borderId="44" xfId="15" applyNumberFormat="1" applyFont="1" applyFill="1" applyBorder="1" applyAlignment="1">
      <alignment horizontal="center"/>
    </xf>
    <xf numFmtId="3" fontId="75" fillId="18" borderId="0" xfId="15" applyNumberFormat="1" applyFont="1" applyFill="1" applyBorder="1" applyAlignment="1">
      <alignment horizontal="center" vertical="center"/>
    </xf>
    <xf numFmtId="3" fontId="75" fillId="18" borderId="44" xfId="15" applyNumberFormat="1" applyFont="1" applyFill="1" applyBorder="1" applyAlignment="1">
      <alignment horizontal="center" vertical="center"/>
    </xf>
    <xf numFmtId="0" fontId="74" fillId="17" borderId="11" xfId="14" applyFont="1" applyFill="1" applyBorder="1" applyAlignment="1">
      <alignment horizontal="center" vertical="center" wrapText="1"/>
    </xf>
    <xf numFmtId="166" fontId="76" fillId="2" borderId="0" xfId="15" applyNumberFormat="1" applyFont="1" applyFill="1"/>
    <xf numFmtId="0" fontId="74" fillId="19" borderId="15" xfId="14" applyFont="1" applyFill="1" applyBorder="1" applyAlignment="1">
      <alignment horizontal="left" vertical="center" wrapText="1"/>
    </xf>
    <xf numFmtId="3" fontId="74" fillId="19" borderId="0" xfId="14" applyNumberFormat="1" applyFont="1" applyFill="1" applyBorder="1" applyAlignment="1">
      <alignment horizontal="center"/>
    </xf>
    <xf numFmtId="3" fontId="74" fillId="19" borderId="44" xfId="14" applyNumberFormat="1" applyFont="1" applyFill="1" applyBorder="1" applyAlignment="1">
      <alignment horizontal="center"/>
    </xf>
    <xf numFmtId="0" fontId="74" fillId="20" borderId="21" xfId="14" applyFont="1" applyFill="1" applyBorder="1" applyAlignment="1">
      <alignment horizontal="left" vertical="center" wrapText="1"/>
    </xf>
    <xf numFmtId="0" fontId="79" fillId="2" borderId="0" xfId="14" applyFont="1" applyFill="1" applyAlignment="1">
      <alignment vertical="center"/>
    </xf>
    <xf numFmtId="0" fontId="65" fillId="43" borderId="3" xfId="4" applyFont="1" applyBorder="1" applyAlignment="1">
      <alignment vertical="center" wrapText="1"/>
    </xf>
    <xf numFmtId="0" fontId="65" fillId="21" borderId="0" xfId="4" applyFont="1" applyFill="1" applyAlignment="1">
      <alignment vertical="center" wrapText="1"/>
    </xf>
    <xf numFmtId="0" fontId="66" fillId="47" borderId="9" xfId="8" applyFont="1">
      <alignment horizontal="center" vertical="center"/>
    </xf>
    <xf numFmtId="0" fontId="64" fillId="2" borderId="0" xfId="9" applyFont="1" applyBorder="1" applyAlignment="1">
      <alignment horizontal="left"/>
    </xf>
    <xf numFmtId="4" fontId="64" fillId="2" borderId="0" xfId="9" applyNumberFormat="1" applyFont="1" applyBorder="1" applyAlignment="1">
      <alignment horizontal="left" wrapText="1"/>
    </xf>
    <xf numFmtId="0" fontId="64" fillId="2" borderId="0" xfId="14" applyFont="1" applyFill="1"/>
    <xf numFmtId="3" fontId="64" fillId="2" borderId="0" xfId="14" applyNumberFormat="1" applyFont="1" applyFill="1"/>
    <xf numFmtId="0" fontId="73" fillId="2" borderId="0" xfId="14" applyFont="1" applyFill="1"/>
    <xf numFmtId="43" fontId="73" fillId="2" borderId="0" xfId="15" applyFont="1" applyFill="1" applyBorder="1"/>
    <xf numFmtId="166" fontId="73" fillId="2" borderId="0" xfId="15" applyNumberFormat="1" applyFont="1" applyFill="1" applyBorder="1"/>
    <xf numFmtId="164" fontId="73" fillId="2" borderId="0" xfId="16" applyNumberFormat="1" applyFont="1" applyFill="1" applyBorder="1"/>
    <xf numFmtId="0" fontId="80" fillId="2" borderId="0" xfId="14" applyFont="1" applyFill="1" applyAlignment="1">
      <alignment horizontal="center"/>
    </xf>
    <xf numFmtId="0" fontId="80" fillId="2" borderId="0" xfId="14" applyFont="1" applyFill="1"/>
    <xf numFmtId="10" fontId="73" fillId="2" borderId="0" xfId="16" applyNumberFormat="1" applyFont="1" applyFill="1" applyBorder="1"/>
    <xf numFmtId="0" fontId="67" fillId="2" borderId="0" xfId="14" applyFont="1" applyFill="1" applyAlignment="1">
      <alignment vertical="center"/>
    </xf>
    <xf numFmtId="0" fontId="66" fillId="47" borderId="3" xfId="8" applyFont="1" applyBorder="1">
      <alignment horizontal="center" vertical="center"/>
    </xf>
    <xf numFmtId="0" fontId="66" fillId="2" borderId="0" xfId="8" applyFont="1" applyFill="1" applyBorder="1">
      <alignment horizontal="center" vertical="center"/>
    </xf>
    <xf numFmtId="0" fontId="74" fillId="16" borderId="37" xfId="14" applyFont="1" applyFill="1" applyBorder="1" applyAlignment="1">
      <alignment horizontal="center" vertical="center" wrapText="1"/>
    </xf>
    <xf numFmtId="0" fontId="64" fillId="2" borderId="0" xfId="9" applyFont="1" applyBorder="1" applyAlignment="1">
      <alignment horizontal="left" wrapText="1"/>
    </xf>
    <xf numFmtId="0" fontId="81" fillId="14" borderId="0" xfId="11" applyFont="1" applyFill="1" applyAlignment="1">
      <alignment wrapText="1"/>
    </xf>
    <xf numFmtId="0" fontId="68" fillId="2" borderId="0" xfId="11" applyFont="1" applyFill="1"/>
    <xf numFmtId="0" fontId="82" fillId="2" borderId="0" xfId="11" applyFont="1" applyFill="1"/>
    <xf numFmtId="0" fontId="70" fillId="14" borderId="0" xfId="11" applyFont="1" applyFill="1" applyAlignment="1">
      <alignment wrapText="1"/>
    </xf>
    <xf numFmtId="0" fontId="70" fillId="14" borderId="0" xfId="11" applyFont="1" applyFill="1"/>
    <xf numFmtId="0" fontId="83" fillId="14" borderId="0" xfId="10" applyFont="1" applyFill="1" applyAlignment="1">
      <alignment vertical="top" wrapText="1"/>
    </xf>
    <xf numFmtId="0" fontId="83" fillId="2" borderId="0" xfId="10" applyFont="1" applyFill="1"/>
    <xf numFmtId="0" fontId="81" fillId="14" borderId="0" xfId="11" applyFont="1" applyFill="1"/>
    <xf numFmtId="0" fontId="83" fillId="14" borderId="0" xfId="10" applyFont="1" applyFill="1" applyAlignment="1">
      <alignment wrapText="1"/>
    </xf>
    <xf numFmtId="164" fontId="84" fillId="2" borderId="9" xfId="2" applyNumberFormat="1" applyFont="1" applyFill="1" applyBorder="1" applyAlignment="1">
      <alignment horizontal="center" vertical="center"/>
    </xf>
    <xf numFmtId="165" fontId="86" fillId="2" borderId="9" xfId="1" applyNumberFormat="1" applyFont="1" applyFill="1" applyBorder="1" applyAlignment="1">
      <alignment horizontal="center" vertical="center"/>
    </xf>
    <xf numFmtId="165" fontId="64" fillId="2" borderId="9" xfId="1" applyNumberFormat="1" applyFont="1" applyFill="1" applyBorder="1" applyAlignment="1">
      <alignment horizontal="center" vertical="center"/>
    </xf>
    <xf numFmtId="37" fontId="71" fillId="15" borderId="9" xfId="13" applyNumberFormat="1" applyFont="1" applyFill="1" applyBorder="1" applyAlignment="1">
      <alignment horizontal="center" vertical="center" wrapText="1"/>
    </xf>
    <xf numFmtId="37" fontId="64" fillId="2" borderId="9" xfId="1" applyNumberFormat="1" applyFont="1" applyFill="1" applyBorder="1" applyAlignment="1">
      <alignment horizontal="center" vertical="center"/>
    </xf>
    <xf numFmtId="3" fontId="13" fillId="2" borderId="60" xfId="0" applyNumberFormat="1" applyFont="1" applyBorder="1" applyAlignment="1">
      <alignment horizontal="center" vertical="center"/>
    </xf>
    <xf numFmtId="3" fontId="13" fillId="2" borderId="61" xfId="0" applyNumberFormat="1" applyFont="1" applyBorder="1" applyAlignment="1">
      <alignment horizontal="center" vertical="center"/>
    </xf>
    <xf numFmtId="3" fontId="13" fillId="2" borderId="34" xfId="0" applyNumberFormat="1" applyFont="1" applyBorder="1" applyAlignment="1">
      <alignment horizontal="center" vertical="center"/>
    </xf>
    <xf numFmtId="0" fontId="13" fillId="6" borderId="62" xfId="6" applyFont="1" applyFill="1" applyBorder="1" applyAlignment="1">
      <alignment horizontal="left" vertical="center" wrapText="1"/>
    </xf>
    <xf numFmtId="0" fontId="46" fillId="46" borderId="1" xfId="7" applyBorder="1" applyAlignment="1"/>
    <xf numFmtId="0" fontId="46" fillId="46" borderId="2" xfId="7" applyBorder="1" applyAlignment="1"/>
    <xf numFmtId="0" fontId="46" fillId="46" borderId="3" xfId="7" applyBorder="1" applyAlignment="1"/>
    <xf numFmtId="0" fontId="46" fillId="46" borderId="22" xfId="7" applyBorder="1" applyAlignment="1"/>
    <xf numFmtId="0" fontId="46" fillId="46" borderId="23" xfId="7" applyBorder="1" applyAlignment="1"/>
    <xf numFmtId="0" fontId="46" fillId="46" borderId="24" xfId="7" applyBorder="1" applyAlignment="1"/>
    <xf numFmtId="0" fontId="46" fillId="47" borderId="46" xfId="8" applyBorder="1">
      <alignment horizontal="center" vertical="center"/>
    </xf>
    <xf numFmtId="0" fontId="46" fillId="47" borderId="63" xfId="8" applyBorder="1">
      <alignment horizontal="center" vertical="center"/>
    </xf>
    <xf numFmtId="0" fontId="46" fillId="47" borderId="33" xfId="8" applyBorder="1">
      <alignment horizontal="center" vertical="center"/>
    </xf>
    <xf numFmtId="0" fontId="13" fillId="6" borderId="64" xfId="6" applyFont="1" applyFill="1" applyBorder="1" applyAlignment="1">
      <alignment horizontal="left" vertical="center" wrapText="1"/>
    </xf>
    <xf numFmtId="0" fontId="65" fillId="43" borderId="62" xfId="4" applyFont="1" applyBorder="1" applyAlignment="1">
      <alignment vertical="center" wrapText="1"/>
    </xf>
    <xf numFmtId="3" fontId="13" fillId="2" borderId="65" xfId="0" applyNumberFormat="1" applyFont="1" applyBorder="1" applyAlignment="1">
      <alignment horizontal="center" vertical="center"/>
    </xf>
    <xf numFmtId="3" fontId="4" fillId="12" borderId="30" xfId="0" applyNumberFormat="1" applyFont="1" applyFill="1" applyBorder="1" applyAlignment="1">
      <alignment horizontal="center" vertical="center"/>
    </xf>
    <xf numFmtId="4" fontId="3" fillId="2" borderId="60" xfId="0" applyNumberFormat="1" applyFont="1" applyFill="1" applyBorder="1" applyAlignment="1">
      <alignment horizontal="left" vertical="center"/>
    </xf>
    <xf numFmtId="9" fontId="13" fillId="0" borderId="60" xfId="2" applyFont="1" applyFill="1" applyBorder="1" applyAlignment="1">
      <alignment horizontal="center" vertical="center"/>
    </xf>
    <xf numFmtId="9" fontId="13" fillId="0" borderId="61" xfId="2" applyFont="1" applyFill="1" applyBorder="1" applyAlignment="1">
      <alignment horizontal="center" vertical="center"/>
    </xf>
    <xf numFmtId="0" fontId="64" fillId="0" borderId="0" xfId="9" applyFont="1" applyFill="1" applyBorder="1" applyAlignment="1">
      <alignment horizontal="left"/>
    </xf>
    <xf numFmtId="0" fontId="64" fillId="2" borderId="0" xfId="14" applyFont="1" applyFill="1" applyAlignment="1">
      <alignment vertical="center"/>
    </xf>
    <xf numFmtId="0" fontId="64" fillId="0" borderId="9" xfId="14" applyFont="1" applyBorder="1" applyAlignment="1">
      <alignment horizontal="center" vertical="center" wrapText="1"/>
    </xf>
    <xf numFmtId="168" fontId="64" fillId="2" borderId="9" xfId="14" applyNumberFormat="1" applyFont="1" applyFill="1" applyBorder="1" applyAlignment="1">
      <alignment horizontal="center" vertical="center"/>
    </xf>
    <xf numFmtId="0" fontId="89" fillId="2" borderId="0" xfId="14" applyFont="1" applyFill="1" applyAlignment="1">
      <alignment horizontal="center" vertical="center" wrapText="1"/>
    </xf>
    <xf numFmtId="0" fontId="64" fillId="0" borderId="9" xfId="14" applyFont="1" applyBorder="1" applyAlignment="1">
      <alignment horizontal="center" vertical="center"/>
    </xf>
    <xf numFmtId="0" fontId="90" fillId="2" borderId="0" xfId="14" applyFont="1" applyFill="1" applyAlignment="1">
      <alignment vertical="center" wrapText="1"/>
    </xf>
    <xf numFmtId="2" fontId="84" fillId="2" borderId="0" xfId="14" applyNumberFormat="1" applyFont="1" applyFill="1" applyAlignment="1">
      <alignment horizontal="center" vertical="center"/>
    </xf>
    <xf numFmtId="0" fontId="84" fillId="2" borderId="0" xfId="14" applyFont="1" applyFill="1" applyAlignment="1">
      <alignment vertical="center"/>
    </xf>
    <xf numFmtId="169" fontId="88" fillId="2" borderId="0" xfId="14" applyNumberFormat="1" applyFont="1" applyFill="1" applyAlignment="1">
      <alignment horizontal="center" vertical="center" wrapText="1"/>
    </xf>
    <xf numFmtId="0" fontId="84" fillId="2" borderId="0" xfId="14" applyFont="1" applyFill="1" applyAlignment="1">
      <alignment horizontal="center" vertical="center"/>
    </xf>
    <xf numFmtId="169" fontId="84" fillId="2" borderId="0" xfId="14" applyNumberFormat="1" applyFont="1" applyFill="1" applyAlignment="1">
      <alignment horizontal="center" vertical="center"/>
    </xf>
    <xf numFmtId="0" fontId="64" fillId="2" borderId="0" xfId="14" applyFont="1" applyFill="1" applyAlignment="1">
      <alignment horizontal="center" vertical="center"/>
    </xf>
    <xf numFmtId="0" fontId="64" fillId="2" borderId="0" xfId="14" applyFont="1" applyFill="1" applyAlignment="1">
      <alignment horizontal="center" vertical="center" wrapText="1"/>
    </xf>
    <xf numFmtId="0" fontId="64" fillId="2" borderId="0" xfId="14" applyFont="1" applyFill="1" applyAlignment="1">
      <alignment horizontal="left" vertical="center" wrapText="1"/>
    </xf>
    <xf numFmtId="168" fontId="64" fillId="2" borderId="0" xfId="14" applyNumberFormat="1" applyFont="1" applyFill="1" applyAlignment="1">
      <alignment horizontal="center" vertical="center"/>
    </xf>
    <xf numFmtId="0" fontId="64" fillId="2" borderId="46" xfId="14" applyFont="1" applyFill="1" applyBorder="1"/>
    <xf numFmtId="0" fontId="64" fillId="0" borderId="47" xfId="14" applyFont="1" applyBorder="1" applyAlignment="1">
      <alignment horizontal="center"/>
    </xf>
    <xf numFmtId="0" fontId="64" fillId="0" borderId="48" xfId="14" applyFont="1" applyBorder="1" applyAlignment="1">
      <alignment horizontal="center"/>
    </xf>
    <xf numFmtId="0" fontId="86" fillId="2" borderId="0" xfId="14" applyFont="1" applyFill="1" applyAlignment="1">
      <alignment horizontal="center"/>
    </xf>
    <xf numFmtId="0" fontId="86" fillId="2" borderId="0" xfId="14" applyFont="1" applyFill="1"/>
    <xf numFmtId="0" fontId="84" fillId="2" borderId="6" xfId="14" applyFont="1" applyFill="1" applyBorder="1" applyAlignment="1">
      <alignment wrapText="1"/>
    </xf>
    <xf numFmtId="167" fontId="84" fillId="2" borderId="6" xfId="14" applyNumberFormat="1" applyFont="1" applyFill="1" applyBorder="1" applyAlignment="1">
      <alignment horizontal="center"/>
    </xf>
    <xf numFmtId="0" fontId="84" fillId="2" borderId="0" xfId="14" applyFont="1" applyFill="1"/>
    <xf numFmtId="0" fontId="84" fillId="2" borderId="9" xfId="14" applyFont="1" applyFill="1" applyBorder="1"/>
    <xf numFmtId="164" fontId="84" fillId="2" borderId="9" xfId="16" applyNumberFormat="1" applyFont="1" applyFill="1" applyBorder="1" applyAlignment="1">
      <alignment horizontal="center"/>
    </xf>
    <xf numFmtId="0" fontId="64" fillId="2" borderId="0" xfId="14" applyFont="1" applyFill="1" applyAlignment="1">
      <alignment horizontal="center"/>
    </xf>
    <xf numFmtId="0" fontId="84" fillId="2" borderId="6" xfId="14" applyFont="1" applyFill="1" applyBorder="1"/>
    <xf numFmtId="3" fontId="84" fillId="2" borderId="9" xfId="14" applyNumberFormat="1" applyFont="1" applyFill="1" applyBorder="1"/>
    <xf numFmtId="3" fontId="84" fillId="2" borderId="9" xfId="15" applyNumberFormat="1" applyFont="1" applyFill="1" applyBorder="1" applyAlignment="1">
      <alignment horizontal="center"/>
    </xf>
    <xf numFmtId="3" fontId="84" fillId="2" borderId="9" xfId="16" applyNumberFormat="1" applyFont="1" applyFill="1" applyBorder="1" applyAlignment="1">
      <alignment horizontal="center"/>
    </xf>
    <xf numFmtId="0" fontId="84" fillId="2" borderId="9" xfId="14" applyFont="1" applyFill="1" applyBorder="1" applyAlignment="1">
      <alignment vertical="center" wrapText="1"/>
    </xf>
    <xf numFmtId="4" fontId="84" fillId="2" borderId="9" xfId="15" applyNumberFormat="1" applyFont="1" applyFill="1" applyBorder="1" applyAlignment="1">
      <alignment horizontal="center" vertical="center"/>
    </xf>
    <xf numFmtId="4" fontId="84" fillId="2" borderId="9" xfId="16" applyNumberFormat="1" applyFont="1" applyFill="1" applyBorder="1" applyAlignment="1">
      <alignment horizontal="center" vertical="center"/>
    </xf>
    <xf numFmtId="0" fontId="68" fillId="2" borderId="0" xfId="0" applyFont="1" applyFill="1" applyBorder="1" applyAlignment="1">
      <alignment horizontal="center" vertical="center" wrapText="1"/>
    </xf>
    <xf numFmtId="0" fontId="1" fillId="2" borderId="0" xfId="0" applyFont="1" applyFill="1" applyAlignment="1">
      <alignment vertical="center"/>
    </xf>
    <xf numFmtId="0" fontId="3" fillId="2" borderId="37" xfId="0" applyFont="1" applyFill="1" applyBorder="1" applyAlignment="1">
      <alignment vertical="center"/>
    </xf>
    <xf numFmtId="0" fontId="66" fillId="47" borderId="22" xfId="8" applyFont="1" applyBorder="1" applyAlignment="1">
      <alignment horizontal="center" vertical="center" wrapText="1"/>
    </xf>
    <xf numFmtId="0" fontId="71" fillId="2" borderId="25" xfId="0" applyFont="1" applyFill="1" applyBorder="1"/>
    <xf numFmtId="168" fontId="71" fillId="2" borderId="9" xfId="0" applyNumberFormat="1" applyFont="1" applyFill="1" applyBorder="1" applyAlignment="1">
      <alignment horizontal="center"/>
    </xf>
    <xf numFmtId="168" fontId="71" fillId="2" borderId="6" xfId="0" applyNumberFormat="1" applyFont="1" applyFill="1" applyBorder="1" applyAlignment="1">
      <alignment horizontal="center"/>
    </xf>
    <xf numFmtId="0" fontId="68" fillId="2" borderId="0" xfId="0" applyFont="1" applyBorder="1" applyAlignment="1">
      <alignment horizontal="center" vertical="center" wrapText="1"/>
    </xf>
    <xf numFmtId="0" fontId="71" fillId="2" borderId="0" xfId="0" applyFont="1" applyFill="1" applyBorder="1"/>
    <xf numFmtId="164" fontId="4" fillId="12" borderId="60" xfId="2" applyNumberFormat="1" applyFont="1" applyFill="1" applyBorder="1" applyAlignment="1">
      <alignment horizontal="center" vertical="center"/>
    </xf>
    <xf numFmtId="0" fontId="4" fillId="12" borderId="12" xfId="0" applyFont="1" applyFill="1" applyBorder="1" applyAlignment="1">
      <alignment horizontal="left" vertical="center" wrapText="1"/>
    </xf>
    <xf numFmtId="37" fontId="4" fillId="12" borderId="12" xfId="1" applyNumberFormat="1" applyFont="1" applyFill="1" applyBorder="1" applyAlignment="1">
      <alignment horizontal="center" vertical="center"/>
    </xf>
    <xf numFmtId="0" fontId="4" fillId="12" borderId="9" xfId="0" applyFont="1" applyFill="1" applyBorder="1" applyAlignment="1">
      <alignment horizontal="left" vertical="center" wrapText="1"/>
    </xf>
    <xf numFmtId="37" fontId="4" fillId="12" borderId="9" xfId="1" applyNumberFormat="1" applyFont="1" applyFill="1" applyBorder="1" applyAlignment="1">
      <alignment horizontal="center" vertical="center"/>
    </xf>
    <xf numFmtId="37" fontId="4" fillId="12" borderId="31" xfId="1" applyNumberFormat="1" applyFont="1" applyFill="1" applyBorder="1" applyAlignment="1">
      <alignment horizontal="center" vertical="center"/>
    </xf>
    <xf numFmtId="164" fontId="4" fillId="12" borderId="61" xfId="2" applyNumberFormat="1" applyFont="1" applyFill="1" applyBorder="1" applyAlignment="1">
      <alignment horizontal="center" vertical="center"/>
    </xf>
    <xf numFmtId="164" fontId="75" fillId="17" borderId="0" xfId="16" applyNumberFormat="1" applyFont="1" applyFill="1" applyBorder="1" applyAlignment="1">
      <alignment horizontal="center"/>
    </xf>
    <xf numFmtId="3" fontId="75" fillId="17" borderId="66" xfId="14" applyNumberFormat="1" applyFont="1" applyFill="1" applyBorder="1" applyAlignment="1">
      <alignment horizontal="center"/>
    </xf>
    <xf numFmtId="3" fontId="74" fillId="20" borderId="67" xfId="14" applyNumberFormat="1" applyFont="1" applyFill="1" applyBorder="1" applyAlignment="1">
      <alignment horizontal="center"/>
    </xf>
    <xf numFmtId="3" fontId="74" fillId="20" borderId="68" xfId="14" applyNumberFormat="1" applyFont="1" applyFill="1" applyBorder="1" applyAlignment="1">
      <alignment horizontal="center"/>
    </xf>
    <xf numFmtId="0" fontId="3" fillId="2" borderId="0" xfId="0" applyFont="1" applyFill="1" applyBorder="1" applyAlignment="1">
      <alignment vertical="center"/>
    </xf>
    <xf numFmtId="0" fontId="1" fillId="2" borderId="69" xfId="0" applyFont="1" applyFill="1" applyBorder="1" applyAlignment="1">
      <alignment vertical="center"/>
    </xf>
    <xf numFmtId="3" fontId="13" fillId="2" borderId="70" xfId="0" applyNumberFormat="1" applyFont="1" applyBorder="1" applyAlignment="1">
      <alignment horizontal="center" vertical="center"/>
    </xf>
    <xf numFmtId="3" fontId="13" fillId="2" borderId="71" xfId="0" applyNumberFormat="1" applyFont="1" applyBorder="1" applyAlignment="1">
      <alignment horizontal="center" vertical="center"/>
    </xf>
    <xf numFmtId="0" fontId="3" fillId="0" borderId="9" xfId="11" applyFont="1" applyBorder="1" applyAlignment="1">
      <alignment horizontal="left" vertical="center" wrapText="1"/>
    </xf>
    <xf numFmtId="0" fontId="46" fillId="47" borderId="2" xfId="8" applyBorder="1">
      <alignment horizontal="center" vertical="center"/>
    </xf>
    <xf numFmtId="0" fontId="46" fillId="47" borderId="3" xfId="8" applyBorder="1">
      <alignment horizontal="center" vertical="center"/>
    </xf>
    <xf numFmtId="0" fontId="3" fillId="0" borderId="6" xfId="11" applyFont="1" applyBorder="1" applyAlignment="1">
      <alignment horizontal="left" vertical="center" wrapText="1"/>
    </xf>
    <xf numFmtId="0" fontId="17" fillId="2" borderId="0" xfId="11" applyFont="1" applyFill="1" applyAlignment="1">
      <alignment horizontal="left" wrapText="1"/>
    </xf>
    <xf numFmtId="0" fontId="17" fillId="2" borderId="28" xfId="11" applyFont="1" applyFill="1" applyBorder="1" applyAlignment="1">
      <alignment horizontal="left" wrapText="1"/>
    </xf>
    <xf numFmtId="0" fontId="17" fillId="2" borderId="0" xfId="11" applyFont="1" applyFill="1" applyAlignment="1">
      <alignment wrapText="1"/>
    </xf>
    <xf numFmtId="0" fontId="46" fillId="46" borderId="1" xfId="7" applyBorder="1" applyAlignment="1">
      <alignment horizontal="left"/>
    </xf>
    <xf numFmtId="0" fontId="46" fillId="46" borderId="2" xfId="7" applyBorder="1" applyAlignment="1">
      <alignment horizontal="left"/>
    </xf>
    <xf numFmtId="0" fontId="22" fillId="0" borderId="0" xfId="11" applyFont="1" applyAlignment="1">
      <alignment horizontal="left" vertical="center" wrapText="1"/>
    </xf>
    <xf numFmtId="0" fontId="70" fillId="14" borderId="0" xfId="11" applyFont="1" applyFill="1" applyAlignment="1">
      <alignment horizontal="left" vertical="center" wrapText="1"/>
    </xf>
    <xf numFmtId="0" fontId="71" fillId="2" borderId="9" xfId="0" applyFont="1" applyFill="1" applyBorder="1" applyAlignment="1">
      <alignment horizontal="left"/>
    </xf>
    <xf numFmtId="0" fontId="84" fillId="2" borderId="0" xfId="9" applyFont="1" applyBorder="1" applyAlignment="1">
      <alignment horizontal="left" vertical="center" wrapText="1"/>
    </xf>
    <xf numFmtId="0" fontId="64" fillId="2" borderId="0" xfId="9" applyFont="1" applyBorder="1" applyAlignment="1">
      <alignment horizontal="left" vertical="center" wrapText="1"/>
    </xf>
    <xf numFmtId="0" fontId="66" fillId="46" borderId="1" xfId="7" applyFont="1" applyBorder="1" applyAlignment="1">
      <alignment horizontal="left"/>
    </xf>
    <xf numFmtId="0" fontId="66" fillId="46" borderId="2" xfId="7" applyFont="1" applyBorder="1" applyAlignment="1">
      <alignment horizontal="left"/>
    </xf>
    <xf numFmtId="0" fontId="66" fillId="46" borderId="3" xfId="7" applyFont="1" applyBorder="1" applyAlignment="1">
      <alignment horizontal="left"/>
    </xf>
    <xf numFmtId="0" fontId="66" fillId="47" borderId="1" xfId="8" applyFont="1" applyBorder="1" applyAlignment="1">
      <alignment horizontal="center" vertical="center"/>
    </xf>
    <xf numFmtId="0" fontId="66" fillId="47" borderId="2" xfId="8" applyFont="1" applyBorder="1" applyAlignment="1">
      <alignment horizontal="center" vertical="center"/>
    </xf>
    <xf numFmtId="0" fontId="66" fillId="47" borderId="3" xfId="8" applyFont="1" applyBorder="1" applyAlignment="1">
      <alignment horizontal="center" vertical="center"/>
    </xf>
    <xf numFmtId="0" fontId="84" fillId="4" borderId="9" xfId="6" applyFont="1" applyFill="1" applyBorder="1" applyAlignment="1">
      <alignment horizontal="left" vertical="center" wrapText="1"/>
    </xf>
    <xf numFmtId="0" fontId="84" fillId="4" borderId="6" xfId="6" applyFont="1" applyFill="1" applyBorder="1" applyAlignment="1">
      <alignment horizontal="left" vertical="center" wrapText="1"/>
    </xf>
    <xf numFmtId="0" fontId="66" fillId="46" borderId="1" xfId="7" applyFont="1" applyBorder="1" applyAlignment="1">
      <alignment vertical="center"/>
    </xf>
    <xf numFmtId="0" fontId="66" fillId="46" borderId="2" xfId="7" applyFont="1" applyBorder="1" applyAlignment="1">
      <alignment vertical="center"/>
    </xf>
    <xf numFmtId="0" fontId="66" fillId="46" borderId="3" xfId="7" applyFont="1" applyBorder="1" applyAlignment="1">
      <alignment vertical="center"/>
    </xf>
    <xf numFmtId="0" fontId="68" fillId="2" borderId="22" xfId="0" applyFont="1" applyFill="1" applyBorder="1" applyAlignment="1">
      <alignment horizontal="center" vertical="center" wrapText="1"/>
    </xf>
    <xf numFmtId="0" fontId="68" fillId="2" borderId="23" xfId="0" applyFont="1" applyFill="1" applyBorder="1" applyAlignment="1">
      <alignment horizontal="center" vertical="center" wrapText="1"/>
    </xf>
    <xf numFmtId="0" fontId="68" fillId="2" borderId="24" xfId="0" applyFont="1" applyFill="1" applyBorder="1" applyAlignment="1">
      <alignment horizontal="center" vertical="center" wrapText="1"/>
    </xf>
    <xf numFmtId="0" fontId="68" fillId="2" borderId="25"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68" fillId="2" borderId="26" xfId="0" applyFont="1" applyFill="1" applyBorder="1" applyAlignment="1">
      <alignment horizontal="center" vertical="center" wrapText="1"/>
    </xf>
    <xf numFmtId="0" fontId="68" fillId="2" borderId="27" xfId="0" applyFont="1" applyFill="1" applyBorder="1" applyAlignment="1">
      <alignment horizontal="center" vertical="center" wrapText="1"/>
    </xf>
    <xf numFmtId="0" fontId="68" fillId="2" borderId="28" xfId="0" applyFont="1" applyFill="1" applyBorder="1" applyAlignment="1">
      <alignment horizontal="center" vertical="center" wrapText="1"/>
    </xf>
    <xf numFmtId="0" fontId="68" fillId="2" borderId="29" xfId="0" applyFont="1" applyFill="1" applyBorder="1" applyAlignment="1">
      <alignment horizontal="center" vertical="center" wrapText="1"/>
    </xf>
    <xf numFmtId="0" fontId="66" fillId="46" borderId="1" xfId="7" applyFont="1" applyBorder="1" applyAlignment="1">
      <alignment horizontal="left" vertical="center"/>
    </xf>
    <xf numFmtId="0" fontId="66" fillId="46" borderId="2" xfId="7" applyFont="1" applyBorder="1" applyAlignment="1">
      <alignment horizontal="left" vertical="center"/>
    </xf>
    <xf numFmtId="0" fontId="66" fillId="46" borderId="3" xfId="7" applyFont="1" applyBorder="1" applyAlignment="1">
      <alignment horizontal="left" vertical="center"/>
    </xf>
    <xf numFmtId="0" fontId="66" fillId="47" borderId="1" xfId="8" applyFont="1" applyBorder="1" applyAlignment="1">
      <alignment horizontal="left" vertical="center"/>
    </xf>
    <xf numFmtId="0" fontId="66" fillId="47" borderId="2" xfId="8" applyFont="1" applyBorder="1" applyAlignment="1">
      <alignment horizontal="left" vertical="center"/>
    </xf>
    <xf numFmtId="0" fontId="66" fillId="47" borderId="3" xfId="8" applyFont="1" applyBorder="1" applyAlignment="1">
      <alignment horizontal="left" vertical="center"/>
    </xf>
    <xf numFmtId="0" fontId="71" fillId="2" borderId="1" xfId="0" applyFont="1" applyFill="1" applyBorder="1" applyAlignment="1">
      <alignment horizontal="left"/>
    </xf>
    <xf numFmtId="0" fontId="84" fillId="2" borderId="14" xfId="0" applyFont="1" applyFill="1" applyBorder="1" applyAlignment="1">
      <alignment horizontal="left"/>
    </xf>
    <xf numFmtId="0" fontId="84" fillId="2" borderId="2" xfId="0" applyFont="1" applyFill="1" applyBorder="1" applyAlignment="1">
      <alignment horizontal="left"/>
    </xf>
    <xf numFmtId="0" fontId="84" fillId="2" borderId="3" xfId="0" applyFont="1" applyFill="1" applyBorder="1" applyAlignment="1">
      <alignment horizontal="left"/>
    </xf>
    <xf numFmtId="0" fontId="84" fillId="4" borderId="1" xfId="6" applyFont="1" applyFill="1" applyBorder="1" applyAlignment="1">
      <alignment horizontal="left" vertical="center" wrapText="1"/>
    </xf>
    <xf numFmtId="0" fontId="84" fillId="4" borderId="2" xfId="6" applyFont="1" applyFill="1" applyBorder="1" applyAlignment="1">
      <alignment horizontal="left" vertical="center" wrapText="1"/>
    </xf>
    <xf numFmtId="0" fontId="84" fillId="4" borderId="3" xfId="6" applyFont="1" applyFill="1" applyBorder="1" applyAlignment="1">
      <alignment horizontal="left" vertical="center" wrapText="1"/>
    </xf>
    <xf numFmtId="0" fontId="12" fillId="2" borderId="17"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45" fillId="45" borderId="0" xfId="3">
      <alignment horizontal="left" vertical="center"/>
    </xf>
    <xf numFmtId="0" fontId="73" fillId="2" borderId="0" xfId="0" applyFont="1" applyFill="1" applyAlignment="1">
      <alignment horizontal="left" vertical="center" wrapText="1"/>
    </xf>
    <xf numFmtId="0" fontId="4" fillId="12" borderId="17" xfId="0" applyFont="1" applyFill="1" applyBorder="1" applyAlignment="1">
      <alignment horizontal="center" vertical="center" wrapText="1"/>
    </xf>
    <xf numFmtId="0" fontId="4" fillId="12" borderId="18" xfId="0" applyFont="1" applyFill="1" applyBorder="1" applyAlignment="1">
      <alignment horizontal="center" vertical="center" wrapText="1"/>
    </xf>
    <xf numFmtId="0" fontId="4" fillId="12" borderId="37" xfId="0" applyFont="1" applyFill="1" applyBorder="1" applyAlignment="1">
      <alignment horizontal="center" vertical="center" wrapText="1"/>
    </xf>
    <xf numFmtId="0" fontId="4" fillId="12" borderId="26" xfId="0" applyFont="1" applyFill="1" applyBorder="1" applyAlignment="1">
      <alignment horizontal="center" vertical="center" wrapText="1"/>
    </xf>
    <xf numFmtId="0" fontId="4" fillId="12" borderId="19" xfId="0" applyFont="1" applyFill="1" applyBorder="1" applyAlignment="1">
      <alignment horizontal="center" vertical="center" wrapText="1"/>
    </xf>
    <xf numFmtId="0" fontId="4" fillId="12" borderId="20" xfId="0" applyFont="1" applyFill="1" applyBorder="1" applyAlignment="1">
      <alignment horizontal="center" vertical="center" wrapText="1"/>
    </xf>
    <xf numFmtId="0" fontId="12" fillId="4" borderId="4" xfId="6" applyFont="1" applyFill="1" applyBorder="1" applyAlignment="1">
      <alignment horizontal="center" vertical="center"/>
    </xf>
    <xf numFmtId="0" fontId="12" fillId="4" borderId="7" xfId="6" applyFont="1" applyFill="1" applyBorder="1" applyAlignment="1">
      <alignment horizontal="center" vertical="center"/>
    </xf>
    <xf numFmtId="0" fontId="12" fillId="4" borderId="37" xfId="6" applyFont="1" applyFill="1" applyBorder="1" applyAlignment="1">
      <alignment horizontal="center" vertical="center"/>
    </xf>
    <xf numFmtId="0" fontId="12" fillId="4" borderId="11" xfId="6" applyFont="1" applyFill="1" applyBorder="1" applyAlignment="1">
      <alignment horizontal="center" vertical="center"/>
    </xf>
    <xf numFmtId="0" fontId="12" fillId="7" borderId="4" xfId="6" applyFont="1" applyFill="1" applyBorder="1" applyAlignment="1">
      <alignment horizontal="center" vertical="center" wrapText="1"/>
    </xf>
    <xf numFmtId="0" fontId="12" fillId="7" borderId="7" xfId="6" applyFont="1" applyFill="1" applyBorder="1" applyAlignment="1">
      <alignment horizontal="center" vertical="center" wrapText="1"/>
    </xf>
    <xf numFmtId="0" fontId="12" fillId="7" borderId="11" xfId="6" applyFont="1" applyFill="1" applyBorder="1" applyAlignment="1">
      <alignment horizontal="center" vertical="center" wrapText="1"/>
    </xf>
    <xf numFmtId="0" fontId="12" fillId="5" borderId="4" xfId="6" applyFont="1" applyFill="1" applyBorder="1" applyAlignment="1">
      <alignment horizontal="center" vertical="center" wrapText="1"/>
    </xf>
    <xf numFmtId="0" fontId="12" fillId="5" borderId="7" xfId="6" applyFont="1" applyFill="1" applyBorder="1" applyAlignment="1">
      <alignment horizontal="center" vertical="center" wrapText="1"/>
    </xf>
    <xf numFmtId="0" fontId="12" fillId="5" borderId="11" xfId="6" applyFont="1" applyFill="1" applyBorder="1" applyAlignment="1">
      <alignment horizontal="center" vertical="center" wrapText="1"/>
    </xf>
    <xf numFmtId="0" fontId="4" fillId="11" borderId="4" xfId="6" applyFont="1" applyFill="1" applyBorder="1" applyAlignment="1">
      <alignment horizontal="center" vertical="center" wrapText="1"/>
    </xf>
    <xf numFmtId="0" fontId="4" fillId="11" borderId="11" xfId="6" applyFont="1" applyFill="1" applyBorder="1" applyAlignment="1">
      <alignment horizontal="center" vertical="center" wrapText="1"/>
    </xf>
    <xf numFmtId="0" fontId="12" fillId="4" borderId="17" xfId="6" applyFont="1" applyFill="1" applyBorder="1" applyAlignment="1">
      <alignment horizontal="center" vertical="center" wrapText="1"/>
    </xf>
    <xf numFmtId="0" fontId="12" fillId="4" borderId="37" xfId="6" applyFont="1" applyFill="1" applyBorder="1" applyAlignment="1">
      <alignment horizontal="center" vertical="center" wrapText="1"/>
    </xf>
    <xf numFmtId="0" fontId="12" fillId="4" borderId="19" xfId="6" applyFont="1" applyFill="1" applyBorder="1" applyAlignment="1">
      <alignment horizontal="center" vertical="center" wrapText="1"/>
    </xf>
    <xf numFmtId="0" fontId="14" fillId="9" borderId="4" xfId="6" applyFont="1" applyFill="1" applyBorder="1" applyAlignment="1">
      <alignment horizontal="center" vertical="center" wrapText="1"/>
    </xf>
    <xf numFmtId="0" fontId="14" fillId="9" borderId="11" xfId="6" applyFont="1" applyFill="1" applyBorder="1" applyAlignment="1">
      <alignment horizontal="center" vertical="center" wrapText="1"/>
    </xf>
    <xf numFmtId="0" fontId="66" fillId="47" borderId="1" xfId="8" applyFont="1" applyBorder="1">
      <alignment horizontal="center" vertical="center"/>
    </xf>
    <xf numFmtId="0" fontId="66" fillId="47" borderId="2" xfId="8" applyFont="1" applyBorder="1">
      <alignment horizontal="center" vertical="center"/>
    </xf>
    <xf numFmtId="0" fontId="66" fillId="47" borderId="3" xfId="8" applyFont="1" applyBorder="1">
      <alignment horizontal="center" vertical="center"/>
    </xf>
    <xf numFmtId="0" fontId="88" fillId="0" borderId="9" xfId="14" applyFont="1" applyBorder="1" applyAlignment="1">
      <alignment horizontal="left" vertical="center" wrapText="1"/>
    </xf>
    <xf numFmtId="0" fontId="74" fillId="16" borderId="17" xfId="14" applyFont="1" applyFill="1" applyBorder="1" applyAlignment="1">
      <alignment horizontal="center" vertical="center" wrapText="1"/>
    </xf>
    <xf numFmtId="0" fontId="74" fillId="16" borderId="37" xfId="14" applyFont="1" applyFill="1" applyBorder="1" applyAlignment="1">
      <alignment horizontal="center" vertical="center" wrapText="1"/>
    </xf>
    <xf numFmtId="0" fontId="74" fillId="17" borderId="4" xfId="14" applyFont="1" applyFill="1" applyBorder="1" applyAlignment="1">
      <alignment horizontal="center" vertical="center" wrapText="1"/>
    </xf>
    <xf numFmtId="0" fontId="74" fillId="17" borderId="7" xfId="14" applyFont="1" applyFill="1" applyBorder="1" applyAlignment="1">
      <alignment horizontal="center" vertical="center" wrapText="1"/>
    </xf>
    <xf numFmtId="0" fontId="74" fillId="16" borderId="19" xfId="14" applyFont="1" applyFill="1" applyBorder="1" applyAlignment="1">
      <alignment horizontal="center" vertical="center" wrapText="1"/>
    </xf>
    <xf numFmtId="0" fontId="74" fillId="17" borderId="37" xfId="14" applyFont="1" applyFill="1" applyBorder="1" applyAlignment="1">
      <alignment horizontal="center" vertical="center" wrapText="1"/>
    </xf>
    <xf numFmtId="0" fontId="74" fillId="17" borderId="41" xfId="14" applyFont="1" applyFill="1" applyBorder="1" applyAlignment="1">
      <alignment horizontal="center" vertical="center" wrapText="1"/>
    </xf>
    <xf numFmtId="0" fontId="74" fillId="19" borderId="17" xfId="14" applyFont="1" applyFill="1" applyBorder="1" applyAlignment="1">
      <alignment horizontal="center" vertical="center" wrapText="1"/>
    </xf>
    <xf numFmtId="0" fontId="74" fillId="19" borderId="37" xfId="14" applyFont="1" applyFill="1" applyBorder="1" applyAlignment="1">
      <alignment horizontal="center" vertical="center" wrapText="1"/>
    </xf>
    <xf numFmtId="0" fontId="74" fillId="19" borderId="19" xfId="14" applyFont="1" applyFill="1" applyBorder="1" applyAlignment="1">
      <alignment horizontal="center" vertical="center" wrapText="1"/>
    </xf>
    <xf numFmtId="0" fontId="64" fillId="2" borderId="0" xfId="9" applyFont="1" applyBorder="1" applyAlignment="1">
      <alignment horizontal="left" wrapText="1"/>
    </xf>
  </cellXfs>
  <cellStyles count="164">
    <cellStyle name="20% - Accent1 2" xfId="18"/>
    <cellStyle name="20% - Accent2 2" xfId="19"/>
    <cellStyle name="20% - Accent3 2" xfId="20"/>
    <cellStyle name="20% - Accent4 2" xfId="21"/>
    <cellStyle name="20% - Accent5 2" xfId="22"/>
    <cellStyle name="20% - Accent6 2"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heck Cell 2" xfId="44"/>
    <cellStyle name="Comma" xfId="1" builtinId="3"/>
    <cellStyle name="Comma 13" xfId="45"/>
    <cellStyle name="Comma 2" xfId="15"/>
    <cellStyle name="Comma 2 2" xfId="46"/>
    <cellStyle name="Comma 2 3" xfId="47"/>
    <cellStyle name="Comma 3" xfId="48"/>
    <cellStyle name="Comma 4" xfId="49"/>
    <cellStyle name="Comma 4 2" xfId="13"/>
    <cellStyle name="Comma 5" xfId="50"/>
    <cellStyle name="Comma 5 2" xfId="51"/>
    <cellStyle name="Comma 6" xfId="52"/>
    <cellStyle name="Comma 7" xfId="53"/>
    <cellStyle name="Comma 8" xfId="54"/>
    <cellStyle name="Currency 2" xfId="55"/>
    <cellStyle name="Currency 2 2" xfId="56"/>
    <cellStyle name="Currency 3" xfId="57"/>
    <cellStyle name="Currency 3 2" xfId="58"/>
    <cellStyle name="Currency 4" xfId="59"/>
    <cellStyle name="Explanatory Text 2" xfId="60"/>
    <cellStyle name="Followed Hyperlink" xfId="17" builtinId="9" customBuiltin="1"/>
    <cellStyle name="Good 2" xfId="61"/>
    <cellStyle name="Heading 1 2" xfId="62"/>
    <cellStyle name="Heading 2 2" xfId="63"/>
    <cellStyle name="Heading 3 2" xfId="64"/>
    <cellStyle name="Heading 4 2" xfId="65"/>
    <cellStyle name="Hyperlink" xfId="10" builtinId="8" customBuiltin="1"/>
    <cellStyle name="Hyperlink 2" xfId="66"/>
    <cellStyle name="Hyperlink 2 2" xfId="67"/>
    <cellStyle name="Hyperlink 3" xfId="68"/>
    <cellStyle name="Input 2" xfId="69"/>
    <cellStyle name="Linked Cell 2" xfId="70"/>
    <cellStyle name="Lotus Heading" xfId="4"/>
    <cellStyle name="Lotus Normal" xfId="9"/>
    <cellStyle name="Lotus Normal 2" xfId="71"/>
    <cellStyle name="Lotus Normal BOLD" xfId="72"/>
    <cellStyle name="Lotus Normal Input Data" xfId="73"/>
    <cellStyle name="Lotus Normal Input Data w/Grid" xfId="74"/>
    <cellStyle name="Lotus Section Heading" xfId="3"/>
    <cellStyle name="Lotus Subheading" xfId="7"/>
    <cellStyle name="Lotus Subheading2" xfId="8"/>
    <cellStyle name="Lotus total (gray)" xfId="75"/>
    <cellStyle name="Neutral 2" xfId="76"/>
    <cellStyle name="Normal" xfId="0" builtinId="0" customBuiltin="1"/>
    <cellStyle name="Normal 10" xfId="77"/>
    <cellStyle name="Normal 10 3" xfId="78"/>
    <cellStyle name="Normal 11" xfId="5"/>
    <cellStyle name="Normal 12" xfId="79"/>
    <cellStyle name="Normal 12 2" xfId="80"/>
    <cellStyle name="Normal 13" xfId="81"/>
    <cellStyle name="Normal 14" xfId="82"/>
    <cellStyle name="Normal 14 2" xfId="83"/>
    <cellStyle name="Normal 15" xfId="84"/>
    <cellStyle name="Normal 16" xfId="85"/>
    <cellStyle name="Normal 17" xfId="86"/>
    <cellStyle name="Normal 17 2" xfId="87"/>
    <cellStyle name="Normal 17 3" xfId="88"/>
    <cellStyle name="Normal 2" xfId="11"/>
    <cellStyle name="Normal 2 2" xfId="12"/>
    <cellStyle name="Normal 2 3" xfId="89"/>
    <cellStyle name="Normal 2 4" xfId="90"/>
    <cellStyle name="Normal 2 5" xfId="91"/>
    <cellStyle name="Normal 2 6" xfId="92"/>
    <cellStyle name="Normal 2 7" xfId="93"/>
    <cellStyle name="Normal 3" xfId="6"/>
    <cellStyle name="Normal 3 2" xfId="94"/>
    <cellStyle name="Normal 3 2 2" xfId="95"/>
    <cellStyle name="Normal 3 2 2 2" xfId="96"/>
    <cellStyle name="Normal 3 2 3" xfId="97"/>
    <cellStyle name="Normal 3 3" xfId="98"/>
    <cellStyle name="Normal 3 3 2" xfId="99"/>
    <cellStyle name="Normal 3 3 2 2" xfId="100"/>
    <cellStyle name="Normal 3 3 3" xfId="101"/>
    <cellStyle name="Normal 3 4" xfId="102"/>
    <cellStyle name="Normal 3 4 2" xfId="103"/>
    <cellStyle name="Normal 3 5" xfId="104"/>
    <cellStyle name="Normal 3 6" xfId="105"/>
    <cellStyle name="Normal 3 7" xfId="106"/>
    <cellStyle name="Normal 3 8" xfId="107"/>
    <cellStyle name="Normal 3 9" xfId="108"/>
    <cellStyle name="Normal 4" xfId="14"/>
    <cellStyle name="Normal 4 2" xfId="109"/>
    <cellStyle name="Normal 4 2 2" xfId="110"/>
    <cellStyle name="Normal 4 2 2 2" xfId="111"/>
    <cellStyle name="Normal 4 2 3" xfId="112"/>
    <cellStyle name="Normal 4 3" xfId="113"/>
    <cellStyle name="Normal 4 3 2" xfId="114"/>
    <cellStyle name="Normal 4 3 2 2" xfId="115"/>
    <cellStyle name="Normal 4 3 3" xfId="116"/>
    <cellStyle name="Normal 4 4" xfId="117"/>
    <cellStyle name="Normal 4 4 2" xfId="118"/>
    <cellStyle name="Normal 4 5" xfId="119"/>
    <cellStyle name="Normal 4 6" xfId="120"/>
    <cellStyle name="Normal 4 7" xfId="121"/>
    <cellStyle name="Normal 4 8" xfId="122"/>
    <cellStyle name="Normal 4 9" xfId="123"/>
    <cellStyle name="Normal 5" xfId="124"/>
    <cellStyle name="Normal 5 2" xfId="125"/>
    <cellStyle name="Normal 5 3" xfId="126"/>
    <cellStyle name="Normal 6" xfId="127"/>
    <cellStyle name="Normal 6 2" xfId="128"/>
    <cellStyle name="Normal 7" xfId="129"/>
    <cellStyle name="Normal 8" xfId="130"/>
    <cellStyle name="Normal 9" xfId="131"/>
    <cellStyle name="Note 2" xfId="132"/>
    <cellStyle name="Note 2 2" xfId="133"/>
    <cellStyle name="Output 2" xfId="134"/>
    <cellStyle name="Percent" xfId="2" builtinId="5"/>
    <cellStyle name="Percent 2" xfId="16"/>
    <cellStyle name="Percent 2 2" xfId="135"/>
    <cellStyle name="Percent 2 3" xfId="136"/>
    <cellStyle name="Percent 2 4" xfId="137"/>
    <cellStyle name="Percent 3" xfId="138"/>
    <cellStyle name="Percent 3 2" xfId="139"/>
    <cellStyle name="Percent 4" xfId="140"/>
    <cellStyle name="Percent 4 2" xfId="141"/>
    <cellStyle name="Percent 5" xfId="142"/>
    <cellStyle name="rick's" xfId="143"/>
    <cellStyle name="style1408386967100" xfId="144"/>
    <cellStyle name="style1408386967172" xfId="145"/>
    <cellStyle name="style1408386967306" xfId="146"/>
    <cellStyle name="style1408386967504" xfId="147"/>
    <cellStyle name="style1408386967624" xfId="148"/>
    <cellStyle name="style1408386967851" xfId="149"/>
    <cellStyle name="style1408386968000" xfId="150"/>
    <cellStyle name="style1408386968205" xfId="151"/>
    <cellStyle name="style1408386968248" xfId="152"/>
    <cellStyle name="style1410817286464" xfId="153"/>
    <cellStyle name="style1410817287567" xfId="154"/>
    <cellStyle name="style1410817289455" xfId="155"/>
    <cellStyle name="style1410818999164" xfId="156"/>
    <cellStyle name="style1410818999273" xfId="157"/>
    <cellStyle name="style1410818999363" xfId="158"/>
    <cellStyle name="style1410818999950" xfId="159"/>
    <cellStyle name="style1410819001948" xfId="160"/>
    <cellStyle name="Title 2" xfId="161"/>
    <cellStyle name="Total 2" xfId="162"/>
    <cellStyle name="Warning Text 2" xfId="1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Business-As-Usual</a:t>
            </a:r>
            <a:r>
              <a:rPr lang="en-US" baseline="0"/>
              <a:t> Emissions Projection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1205595815272138E-2"/>
          <c:y val="0.12677243169312138"/>
          <c:w val="0.91190709720656349"/>
          <c:h val="0.71575021167179542"/>
        </c:manualLayout>
      </c:layout>
      <c:areaChart>
        <c:grouping val="stacked"/>
        <c:varyColors val="0"/>
        <c:ser>
          <c:idx val="0"/>
          <c:order val="0"/>
          <c:tx>
            <c:strRef>
              <c:f>'Business As Usual'!$C$51</c:f>
              <c:strCache>
                <c:ptCount val="1"/>
                <c:pt idx="0">
                  <c:v>United Power Electricity Emissions</c:v>
                </c:pt>
              </c:strCache>
            </c:strRef>
          </c:tx>
          <c:spPr>
            <a:solidFill>
              <a:schemeClr val="accent1"/>
            </a:solidFill>
            <a:ln>
              <a:noFill/>
            </a:ln>
            <a:effectLst/>
          </c:spP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Usual'!$D$51:$AI$51</c:f>
              <c:numCache>
                <c:formatCode>#,##0</c:formatCode>
                <c:ptCount val="32"/>
                <c:pt idx="0">
                  <c:v>141021.64079122571</c:v>
                </c:pt>
                <c:pt idx="1">
                  <c:v>133952.48779661171</c:v>
                </c:pt>
                <c:pt idx="2">
                  <c:v>126725.97696249154</c:v>
                </c:pt>
                <c:pt idx="3">
                  <c:v>119344.12231353999</c:v>
                </c:pt>
                <c:pt idx="4">
                  <c:v>111760.86765783331</c:v>
                </c:pt>
                <c:pt idx="5">
                  <c:v>104272.16893238903</c:v>
                </c:pt>
                <c:pt idx="6">
                  <c:v>96625.381615820093</c:v>
                </c:pt>
                <c:pt idx="7">
                  <c:v>89053.720176318602</c:v>
                </c:pt>
                <c:pt idx="8">
                  <c:v>81191.627184294965</c:v>
                </c:pt>
                <c:pt idx="9">
                  <c:v>72977.858276548242</c:v>
                </c:pt>
                <c:pt idx="10">
                  <c:v>64406.950238748963</c:v>
                </c:pt>
                <c:pt idx="11">
                  <c:v>55474.020629633858</c:v>
                </c:pt>
                <c:pt idx="12">
                  <c:v>56490.061017216671</c:v>
                </c:pt>
                <c:pt idx="13">
                  <c:v>57508.64942467615</c:v>
                </c:pt>
                <c:pt idx="14">
                  <c:v>58528.232310027473</c:v>
                </c:pt>
                <c:pt idx="15">
                  <c:v>59528.413411034002</c:v>
                </c:pt>
                <c:pt idx="16">
                  <c:v>60525.688867627156</c:v>
                </c:pt>
                <c:pt idx="17">
                  <c:v>61518.498532762387</c:v>
                </c:pt>
                <c:pt idx="18">
                  <c:v>62505.91279329759</c:v>
                </c:pt>
                <c:pt idx="19">
                  <c:v>63486.529514195281</c:v>
                </c:pt>
                <c:pt idx="20">
                  <c:v>64459.156089579978</c:v>
                </c:pt>
                <c:pt idx="21">
                  <c:v>65422.806490087409</c:v>
                </c:pt>
                <c:pt idx="22">
                  <c:v>66376.825303279446</c:v>
                </c:pt>
                <c:pt idx="23">
                  <c:v>67321.056963079551</c:v>
                </c:pt>
                <c:pt idx="24">
                  <c:v>68255.710241878289</c:v>
                </c:pt>
                <c:pt idx="25">
                  <c:v>69181.389858440758</c:v>
                </c:pt>
                <c:pt idx="26">
                  <c:v>70099.058770821779</c:v>
                </c:pt>
                <c:pt idx="27">
                  <c:v>71009.775593917759</c:v>
                </c:pt>
                <c:pt idx="28">
                  <c:v>71914.743730784277</c:v>
                </c:pt>
                <c:pt idx="29">
                  <c:v>72815.009614973576</c:v>
                </c:pt>
                <c:pt idx="30">
                  <c:v>73711.998025283363</c:v>
                </c:pt>
                <c:pt idx="31">
                  <c:v>74607.073818011413</c:v>
                </c:pt>
              </c:numCache>
            </c:numRef>
          </c:val>
          <c:extLst>
            <c:ext xmlns:c16="http://schemas.microsoft.com/office/drawing/2014/chart" uri="{C3380CC4-5D6E-409C-BE32-E72D297353CC}">
              <c16:uniqueId val="{00000000-60FA-4AB6-8B8A-D004F3776FD5}"/>
            </c:ext>
          </c:extLst>
        </c:ser>
        <c:ser>
          <c:idx val="4"/>
          <c:order val="1"/>
          <c:tx>
            <c:strRef>
              <c:f>'Business As Usual'!$C$53</c:f>
              <c:strCache>
                <c:ptCount val="1"/>
                <c:pt idx="0">
                  <c:v>Natural Gas Fugitive Emissions </c:v>
                </c:pt>
              </c:strCache>
            </c:strRef>
          </c:tx>
          <c:spPr>
            <a:solidFill>
              <a:schemeClr val="accent5"/>
            </a:solidFill>
            <a:ln w="25400">
              <a:noFill/>
            </a:ln>
            <a:effectLst/>
          </c:spP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Usual'!$D$53:$AI$53</c:f>
              <c:numCache>
                <c:formatCode>#,##0</c:formatCode>
                <c:ptCount val="32"/>
                <c:pt idx="0">
                  <c:v>6374</c:v>
                </c:pt>
                <c:pt idx="1">
                  <c:v>6445.6803460227657</c:v>
                </c:pt>
                <c:pt idx="2">
                  <c:v>6519.1685103207874</c:v>
                </c:pt>
                <c:pt idx="3">
                  <c:v>6594.9782169805521</c:v>
                </c:pt>
                <c:pt idx="4">
                  <c:v>6670.9186137969709</c:v>
                </c:pt>
                <c:pt idx="5">
                  <c:v>6766.2284645666186</c:v>
                </c:pt>
                <c:pt idx="6">
                  <c:v>6868.4952271895327</c:v>
                </c:pt>
                <c:pt idx="7">
                  <c:v>6998.2482559479531</c:v>
                </c:pt>
                <c:pt idx="8">
                  <c:v>7133.0990395138333</c:v>
                </c:pt>
                <c:pt idx="9">
                  <c:v>7268.9927319549524</c:v>
                </c:pt>
                <c:pt idx="10">
                  <c:v>7405.7842157975374</c:v>
                </c:pt>
                <c:pt idx="11">
                  <c:v>7543.3013596214196</c:v>
                </c:pt>
                <c:pt idx="12">
                  <c:v>7681.4615064810378</c:v>
                </c:pt>
                <c:pt idx="13">
                  <c:v>7819.9681305128861</c:v>
                </c:pt>
                <c:pt idx="14">
                  <c:v>7958.6099826451773</c:v>
                </c:pt>
                <c:pt idx="15">
                  <c:v>8094.6135997159754</c:v>
                </c:pt>
                <c:pt idx="16">
                  <c:v>8230.2221101908326</c:v>
                </c:pt>
                <c:pt idx="17">
                  <c:v>8365.223366848606</c:v>
                </c:pt>
                <c:pt idx="18">
                  <c:v>8499.4909618320835</c:v>
                </c:pt>
                <c:pt idx="19">
                  <c:v>8632.8342342334272</c:v>
                </c:pt>
                <c:pt idx="20">
                  <c:v>8765.0910147088634</c:v>
                </c:pt>
                <c:pt idx="21">
                  <c:v>8896.1272239802056</c:v>
                </c:pt>
                <c:pt idx="22">
                  <c:v>9025.8537397253349</c:v>
                </c:pt>
                <c:pt idx="23">
                  <c:v>9154.2494082261128</c:v>
                </c:pt>
                <c:pt idx="24">
                  <c:v>9281.3426181415816</c:v>
                </c:pt>
                <c:pt idx="25">
                  <c:v>9407.2155985193458</c:v>
                </c:pt>
                <c:pt idx="26">
                  <c:v>9531.999291424203</c:v>
                </c:pt>
                <c:pt idx="27">
                  <c:v>9655.8376462417782</c:v>
                </c:pt>
                <c:pt idx="28">
                  <c:v>9778.8943005054989</c:v>
                </c:pt>
                <c:pt idx="29">
                  <c:v>9901.311547194091</c:v>
                </c:pt>
                <c:pt idx="30">
                  <c:v>10023.283126291064</c:v>
                </c:pt>
                <c:pt idx="31">
                  <c:v>10144.994629578836</c:v>
                </c:pt>
              </c:numCache>
            </c:numRef>
          </c:val>
          <c:extLst>
            <c:ext xmlns:c16="http://schemas.microsoft.com/office/drawing/2014/chart" uri="{C3380CC4-5D6E-409C-BE32-E72D297353CC}">
              <c16:uniqueId val="{00000001-60FA-4AB6-8B8A-D004F3776FD5}"/>
            </c:ext>
          </c:extLst>
        </c:ser>
        <c:ser>
          <c:idx val="5"/>
          <c:order val="2"/>
          <c:tx>
            <c:strRef>
              <c:f>'Business As Usual'!$C$54</c:f>
              <c:strCache>
                <c:ptCount val="1"/>
                <c:pt idx="0">
                  <c:v>Natural Gas Emissions</c:v>
                </c:pt>
              </c:strCache>
            </c:strRef>
          </c:tx>
          <c:spPr>
            <a:solidFill>
              <a:schemeClr val="accent6"/>
            </a:solidFill>
            <a:ln>
              <a:noFill/>
            </a:ln>
            <a:effectLst/>
          </c:spP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Usual'!$D$54:$AI$54</c:f>
              <c:numCache>
                <c:formatCode>#,##0</c:formatCode>
                <c:ptCount val="32"/>
                <c:pt idx="0">
                  <c:v>189103</c:v>
                </c:pt>
                <c:pt idx="1">
                  <c:v>191229.60314934785</c:v>
                </c:pt>
                <c:pt idx="2">
                  <c:v>193409.84041531096</c:v>
                </c:pt>
                <c:pt idx="3">
                  <c:v>195658.95289703069</c:v>
                </c:pt>
                <c:pt idx="4">
                  <c:v>197911.94267725898</c:v>
                </c:pt>
                <c:pt idx="5">
                  <c:v>200739.58288907143</c:v>
                </c:pt>
                <c:pt idx="6">
                  <c:v>203773.61985365895</c:v>
                </c:pt>
                <c:pt idx="7">
                  <c:v>207623.11577416467</c:v>
                </c:pt>
                <c:pt idx="8">
                  <c:v>211623.85121888676</c:v>
                </c:pt>
                <c:pt idx="9">
                  <c:v>215655.52754798828</c:v>
                </c:pt>
                <c:pt idx="10">
                  <c:v>219713.83943519951</c:v>
                </c:pt>
                <c:pt idx="11">
                  <c:v>223793.68010801525</c:v>
                </c:pt>
                <c:pt idx="12">
                  <c:v>227892.59731096384</c:v>
                </c:pt>
                <c:pt idx="13">
                  <c:v>232001.7937534324</c:v>
                </c:pt>
                <c:pt idx="14">
                  <c:v>236115.00212553353</c:v>
                </c:pt>
                <c:pt idx="15">
                  <c:v>240149.93968419987</c:v>
                </c:pt>
                <c:pt idx="16">
                  <c:v>244173.15527195123</c:v>
                </c:pt>
                <c:pt idx="17">
                  <c:v>248178.35493272234</c:v>
                </c:pt>
                <c:pt idx="18">
                  <c:v>252161.78841470552</c:v>
                </c:pt>
                <c:pt idx="19">
                  <c:v>256117.79921497402</c:v>
                </c:pt>
                <c:pt idx="20">
                  <c:v>260041.57611460477</c:v>
                </c:pt>
                <c:pt idx="21">
                  <c:v>263929.14126707398</c:v>
                </c:pt>
                <c:pt idx="22">
                  <c:v>267777.85060296219</c:v>
                </c:pt>
                <c:pt idx="23">
                  <c:v>271587.07653652079</c:v>
                </c:pt>
                <c:pt idx="24">
                  <c:v>275357.66129878076</c:v>
                </c:pt>
                <c:pt idx="25">
                  <c:v>279092.04445039295</c:v>
                </c:pt>
                <c:pt idx="26">
                  <c:v>282794.11076344398</c:v>
                </c:pt>
                <c:pt idx="27">
                  <c:v>286468.13090951677</c:v>
                </c:pt>
                <c:pt idx="28">
                  <c:v>290118.9596655934</c:v>
                </c:pt>
                <c:pt idx="29">
                  <c:v>293750.81856119313</c:v>
                </c:pt>
                <c:pt idx="30">
                  <c:v>297369.45544885786</c:v>
                </c:pt>
                <c:pt idx="31">
                  <c:v>300980.37644136301</c:v>
                </c:pt>
              </c:numCache>
            </c:numRef>
          </c:val>
          <c:extLst>
            <c:ext xmlns:c16="http://schemas.microsoft.com/office/drawing/2014/chart" uri="{C3380CC4-5D6E-409C-BE32-E72D297353CC}">
              <c16:uniqueId val="{00000002-60FA-4AB6-8B8A-D004F3776FD5}"/>
            </c:ext>
          </c:extLst>
        </c:ser>
        <c:ser>
          <c:idx val="6"/>
          <c:order val="6"/>
          <c:tx>
            <c:strRef>
              <c:f>'Business As Usual'!$C$59</c:f>
              <c:strCache>
                <c:ptCount val="1"/>
                <c:pt idx="0">
                  <c:v>Total Gasoline, Diesel, and Ethanol Emissions</c:v>
                </c:pt>
              </c:strCache>
            </c:strRef>
          </c:tx>
          <c:spPr>
            <a:solidFill>
              <a:schemeClr val="accent1">
                <a:lumMod val="60000"/>
              </a:schemeClr>
            </a:solidFill>
            <a:ln>
              <a:noFill/>
            </a:ln>
            <a:effectLst/>
          </c:spP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Usual'!$D$59:$AI$59</c:f>
              <c:numCache>
                <c:formatCode>#,##0</c:formatCode>
                <c:ptCount val="32"/>
                <c:pt idx="0">
                  <c:v>270697.05208639085</c:v>
                </c:pt>
                <c:pt idx="1">
                  <c:v>266097.32421294105</c:v>
                </c:pt>
                <c:pt idx="2">
                  <c:v>261828.69132952404</c:v>
                </c:pt>
                <c:pt idx="3">
                  <c:v>257212.36020328174</c:v>
                </c:pt>
                <c:pt idx="4">
                  <c:v>252125.38386226192</c:v>
                </c:pt>
                <c:pt idx="5">
                  <c:v>247543.30309104989</c:v>
                </c:pt>
                <c:pt idx="6">
                  <c:v>242841.91420818522</c:v>
                </c:pt>
                <c:pt idx="7">
                  <c:v>239383.53577304835</c:v>
                </c:pt>
                <c:pt idx="8">
                  <c:v>236301.30332212095</c:v>
                </c:pt>
                <c:pt idx="9">
                  <c:v>233558.34012091748</c:v>
                </c:pt>
                <c:pt idx="10">
                  <c:v>231186.42061667956</c:v>
                </c:pt>
                <c:pt idx="11">
                  <c:v>229154.97654392131</c:v>
                </c:pt>
                <c:pt idx="12">
                  <c:v>227466.18416036159</c:v>
                </c:pt>
                <c:pt idx="13">
                  <c:v>226104.78647036315</c:v>
                </c:pt>
                <c:pt idx="14">
                  <c:v>225047.63644236239</c:v>
                </c:pt>
                <c:pt idx="15">
                  <c:v>224196.6573077403</c:v>
                </c:pt>
                <c:pt idx="16">
                  <c:v>223641.56349097055</c:v>
                </c:pt>
                <c:pt idx="17">
                  <c:v>223355.38564198412</c:v>
                </c:pt>
                <c:pt idx="18">
                  <c:v>223333.5828200696</c:v>
                </c:pt>
                <c:pt idx="19">
                  <c:v>223537.77487897669</c:v>
                </c:pt>
                <c:pt idx="20">
                  <c:v>223954.90244510895</c:v>
                </c:pt>
                <c:pt idx="21">
                  <c:v>224546.40667193197</c:v>
                </c:pt>
                <c:pt idx="22">
                  <c:v>224204.26297235384</c:v>
                </c:pt>
                <c:pt idx="23">
                  <c:v>223861.77819643923</c:v>
                </c:pt>
                <c:pt idx="24">
                  <c:v>223441.4334973433</c:v>
                </c:pt>
                <c:pt idx="25">
                  <c:v>222948.06512892197</c:v>
                </c:pt>
                <c:pt idx="26">
                  <c:v>222387.45072310671</c:v>
                </c:pt>
                <c:pt idx="27">
                  <c:v>221765.40671675545</c:v>
                </c:pt>
                <c:pt idx="28">
                  <c:v>221087.92459078738</c:v>
                </c:pt>
                <c:pt idx="29">
                  <c:v>220360.23186255872</c:v>
                </c:pt>
                <c:pt idx="30">
                  <c:v>219588.43364699726</c:v>
                </c:pt>
                <c:pt idx="31">
                  <c:v>218778.14769825237</c:v>
                </c:pt>
              </c:numCache>
            </c:numRef>
          </c:val>
          <c:extLst xmlns:c15="http://schemas.microsoft.com/office/drawing/2012/chart">
            <c:ext xmlns:c16="http://schemas.microsoft.com/office/drawing/2014/chart" uri="{C3380CC4-5D6E-409C-BE32-E72D297353CC}">
              <c16:uniqueId val="{00000003-60FA-4AB6-8B8A-D004F3776FD5}"/>
            </c:ext>
          </c:extLst>
        </c:ser>
        <c:ser>
          <c:idx val="8"/>
          <c:order val="7"/>
          <c:tx>
            <c:strRef>
              <c:f>'Business As Usual'!$C$60</c:f>
              <c:strCache>
                <c:ptCount val="1"/>
                <c:pt idx="0">
                  <c:v>Electric Vehicle Emissions</c:v>
                </c:pt>
              </c:strCache>
            </c:strRef>
          </c:tx>
          <c:spPr>
            <a:solidFill>
              <a:schemeClr val="accent3">
                <a:lumMod val="60000"/>
              </a:schemeClr>
            </a:solidFill>
            <a:ln>
              <a:noFill/>
            </a:ln>
            <a:effectLst/>
          </c:spP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Usual'!$D$60:$AI$60</c:f>
              <c:numCache>
                <c:formatCode>#,##0</c:formatCode>
                <c:ptCount val="32"/>
                <c:pt idx="0">
                  <c:v>2186.1885631079704</c:v>
                </c:pt>
                <c:pt idx="1">
                  <c:v>1421.7123089348067</c:v>
                </c:pt>
                <c:pt idx="2">
                  <c:v>1777.4817309878836</c:v>
                </c:pt>
                <c:pt idx="3">
                  <c:v>1999.4887717095842</c:v>
                </c:pt>
                <c:pt idx="4">
                  <c:v>2162.352663832532</c:v>
                </c:pt>
                <c:pt idx="5">
                  <c:v>2273.3264764694868</c:v>
                </c:pt>
                <c:pt idx="6">
                  <c:v>2329.2978171047844</c:v>
                </c:pt>
                <c:pt idx="7">
                  <c:v>2337.5855790919759</c:v>
                </c:pt>
                <c:pt idx="8">
                  <c:v>2290.5080235641585</c:v>
                </c:pt>
                <c:pt idx="9">
                  <c:v>2186.6790276127863</c:v>
                </c:pt>
                <c:pt idx="10">
                  <c:v>2026.2393315109243</c:v>
                </c:pt>
                <c:pt idx="11">
                  <c:v>1809.5387985015834</c:v>
                </c:pt>
                <c:pt idx="12">
                  <c:v>1865.6663097602907</c:v>
                </c:pt>
                <c:pt idx="13">
                  <c:v>1908.5127703755302</c:v>
                </c:pt>
                <c:pt idx="14">
                  <c:v>1937.5868651301878</c:v>
                </c:pt>
                <c:pt idx="15">
                  <c:v>1951.7995700716244</c:v>
                </c:pt>
                <c:pt idx="16">
                  <c:v>1951.3163946980699</c:v>
                </c:pt>
                <c:pt idx="17">
                  <c:v>1935.7316973819427</c:v>
                </c:pt>
                <c:pt idx="18">
                  <c:v>1904.6904859205706</c:v>
                </c:pt>
                <c:pt idx="19">
                  <c:v>1857.8555226442459</c:v>
                </c:pt>
                <c:pt idx="20">
                  <c:v>1794.9313737846846</c:v>
                </c:pt>
                <c:pt idx="21">
                  <c:v>1715.6652049364668</c:v>
                </c:pt>
                <c:pt idx="22">
                  <c:v>1623.1409181930139</c:v>
                </c:pt>
                <c:pt idx="23">
                  <c:v>1513.7620505314537</c:v>
                </c:pt>
                <c:pt idx="24">
                  <c:v>1387.2065378812888</c:v>
                </c:pt>
                <c:pt idx="25">
                  <c:v>1243.1784337264257</c:v>
                </c:pt>
                <c:pt idx="26">
                  <c:v>1081.4016487852632</c:v>
                </c:pt>
                <c:pt idx="27">
                  <c:v>901.61035481272302</c:v>
                </c:pt>
                <c:pt idx="28">
                  <c:v>703.54606997788812</c:v>
                </c:pt>
                <c:pt idx="29">
                  <c:v>486.95127353342298</c:v>
                </c:pt>
                <c:pt idx="30">
                  <c:v>251.57147110985991</c:v>
                </c:pt>
                <c:pt idx="31">
                  <c:v>0</c:v>
                </c:pt>
              </c:numCache>
            </c:numRef>
          </c:val>
          <c:extLst>
            <c:ext xmlns:c16="http://schemas.microsoft.com/office/drawing/2014/chart" uri="{C3380CC4-5D6E-409C-BE32-E72D297353CC}">
              <c16:uniqueId val="{00000004-60FA-4AB6-8B8A-D004F3776FD5}"/>
            </c:ext>
          </c:extLst>
        </c:ser>
        <c:ser>
          <c:idx val="9"/>
          <c:order val="8"/>
          <c:tx>
            <c:strRef>
              <c:f>'Business As Usual'!$C$61</c:f>
              <c:strCache>
                <c:ptCount val="1"/>
                <c:pt idx="0">
                  <c:v>Transit Emissions</c:v>
                </c:pt>
              </c:strCache>
            </c:strRef>
          </c:tx>
          <c:spPr>
            <a:solidFill>
              <a:schemeClr val="accent4">
                <a:lumMod val="60000"/>
              </a:schemeClr>
            </a:solidFill>
            <a:ln w="25400">
              <a:noFill/>
            </a:ln>
            <a:effectLst/>
          </c:spP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Usual'!$D$61:$AI$61</c:f>
              <c:numCache>
                <c:formatCode>#,##0</c:formatCode>
                <c:ptCount val="32"/>
                <c:pt idx="0">
                  <c:v>2114</c:v>
                </c:pt>
                <c:pt idx="1">
                  <c:v>2137.773494115489</c:v>
                </c:pt>
                <c:pt idx="2">
                  <c:v>2162.1465690019054</c:v>
                </c:pt>
                <c:pt idx="3">
                  <c:v>2187.2896063220719</c:v>
                </c:pt>
                <c:pt idx="4">
                  <c:v>2212.4759883223714</c:v>
                </c:pt>
                <c:pt idx="5">
                  <c:v>2244.0864408681882</c:v>
                </c:pt>
                <c:pt idx="6">
                  <c:v>2278.0042218824397</c:v>
                </c:pt>
                <c:pt idx="7">
                  <c:v>2321.0380943009054</c:v>
                </c:pt>
                <c:pt idx="8">
                  <c:v>2365.7626874070038</c:v>
                </c:pt>
                <c:pt idx="9">
                  <c:v>2410.8331715332238</c:v>
                </c:pt>
                <c:pt idx="10">
                  <c:v>2456.2014170373382</c:v>
                </c:pt>
                <c:pt idx="11">
                  <c:v>2501.8103348352183</c:v>
                </c:pt>
                <c:pt idx="12">
                  <c:v>2547.6325109351924</c:v>
                </c:pt>
                <c:pt idx="13">
                  <c:v>2593.5695996084473</c:v>
                </c:pt>
                <c:pt idx="14">
                  <c:v>2639.5515380156744</c:v>
                </c:pt>
                <c:pt idx="15">
                  <c:v>2684.658479730087</c:v>
                </c:pt>
                <c:pt idx="16">
                  <c:v>2729.6343804429598</c:v>
                </c:pt>
                <c:pt idx="17">
                  <c:v>2774.4088794348854</c:v>
                </c:pt>
                <c:pt idx="18">
                  <c:v>2818.9400522925998</c:v>
                </c:pt>
                <c:pt idx="19">
                  <c:v>2863.1646644445359</c:v>
                </c:pt>
                <c:pt idx="20">
                  <c:v>2907.0289308275092</c:v>
                </c:pt>
                <c:pt idx="21">
                  <c:v>2950.4883827257863</c:v>
                </c:pt>
                <c:pt idx="22">
                  <c:v>2993.5134618417583</c:v>
                </c:pt>
                <c:pt idx="23">
                  <c:v>3036.0971523360545</c:v>
                </c:pt>
                <c:pt idx="24">
                  <c:v>3078.2488695875923</c:v>
                </c:pt>
                <c:pt idx="25">
                  <c:v>3119.9958856714629</c:v>
                </c:pt>
                <c:pt idx="26">
                  <c:v>3161.3816288156218</c:v>
                </c:pt>
                <c:pt idx="27">
                  <c:v>3202.4538412543343</c:v>
                </c:pt>
                <c:pt idx="28">
                  <c:v>3243.2667949903725</c:v>
                </c:pt>
                <c:pt idx="29">
                  <c:v>3283.8676828943076</c:v>
                </c:pt>
                <c:pt idx="30">
                  <c:v>3324.3207607435388</c:v>
                </c:pt>
                <c:pt idx="31">
                  <c:v>3364.687581884165</c:v>
                </c:pt>
              </c:numCache>
            </c:numRef>
          </c:val>
          <c:extLst>
            <c:ext xmlns:c16="http://schemas.microsoft.com/office/drawing/2014/chart" uri="{C3380CC4-5D6E-409C-BE32-E72D297353CC}">
              <c16:uniqueId val="{00000005-60FA-4AB6-8B8A-D004F3776FD5}"/>
            </c:ext>
          </c:extLst>
        </c:ser>
        <c:ser>
          <c:idx val="10"/>
          <c:order val="9"/>
          <c:tx>
            <c:strRef>
              <c:f>'Business As Usual'!$C$62</c:f>
              <c:strCache>
                <c:ptCount val="1"/>
                <c:pt idx="0">
                  <c:v>Rail Emissions</c:v>
                </c:pt>
              </c:strCache>
            </c:strRef>
          </c:tx>
          <c:spPr>
            <a:solidFill>
              <a:schemeClr val="accent5">
                <a:lumMod val="60000"/>
              </a:schemeClr>
            </a:solidFill>
            <a:ln w="25400">
              <a:noFill/>
            </a:ln>
            <a:effectLst/>
          </c:spP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Usual'!$D$62:$AI$62</c:f>
              <c:numCache>
                <c:formatCode>#,##0</c:formatCode>
                <c:ptCount val="32"/>
                <c:pt idx="0">
                  <c:v>405</c:v>
                </c:pt>
                <c:pt idx="1">
                  <c:v>409.55452465315659</c:v>
                </c:pt>
                <c:pt idx="2">
                  <c:v>414.22391695637259</c:v>
                </c:pt>
                <c:pt idx="3">
                  <c:v>419.04081861894002</c:v>
                </c:pt>
                <c:pt idx="4">
                  <c:v>423.86602425286685</c:v>
                </c:pt>
                <c:pt idx="5">
                  <c:v>429.92195295724514</c:v>
                </c:pt>
                <c:pt idx="6">
                  <c:v>436.41991951863201</c:v>
                </c:pt>
                <c:pt idx="7">
                  <c:v>444.66434635376851</c:v>
                </c:pt>
                <c:pt idx="8">
                  <c:v>453.23268136226892</c:v>
                </c:pt>
                <c:pt idx="9">
                  <c:v>461.86728215276992</c:v>
                </c:pt>
                <c:pt idx="10">
                  <c:v>470.55892805114564</c:v>
                </c:pt>
                <c:pt idx="11">
                  <c:v>479.29668193389938</c:v>
                </c:pt>
                <c:pt idx="12">
                  <c:v>488.07529183006278</c:v>
                </c:pt>
                <c:pt idx="13">
                  <c:v>496.87591667049242</c:v>
                </c:pt>
                <c:pt idx="14">
                  <c:v>505.6851338204105</c:v>
                </c:pt>
                <c:pt idx="15">
                  <c:v>514.32671915358799</c:v>
                </c:pt>
                <c:pt idx="16">
                  <c:v>522.94319965912882</c:v>
                </c:pt>
                <c:pt idx="17">
                  <c:v>531.5210956344032</c:v>
                </c:pt>
                <c:pt idx="18">
                  <c:v>540.05237520269759</c:v>
                </c:pt>
                <c:pt idx="19">
                  <c:v>548.52492388838073</c:v>
                </c:pt>
                <c:pt idx="20">
                  <c:v>556.92843755210083</c:v>
                </c:pt>
                <c:pt idx="21">
                  <c:v>565.25439687982191</c:v>
                </c:pt>
                <c:pt idx="22">
                  <c:v>573.4971390945658</c:v>
                </c:pt>
                <c:pt idx="23">
                  <c:v>581.65532010222421</c:v>
                </c:pt>
                <c:pt idx="24">
                  <c:v>589.73074370055565</c:v>
                </c:pt>
                <c:pt idx="25">
                  <c:v>597.72863467215814</c:v>
                </c:pt>
                <c:pt idx="26">
                  <c:v>605.65731299447805</c:v>
                </c:pt>
                <c:pt idx="27">
                  <c:v>613.52592512204592</c:v>
                </c:pt>
                <c:pt idx="28">
                  <c:v>621.34486848207212</c:v>
                </c:pt>
                <c:pt idx="29">
                  <c:v>629.12318428202184</c:v>
                </c:pt>
                <c:pt idx="30">
                  <c:v>636.87318264008172</c:v>
                </c:pt>
                <c:pt idx="31">
                  <c:v>644.6066559428034</c:v>
                </c:pt>
              </c:numCache>
            </c:numRef>
          </c:val>
          <c:extLst xmlns:c15="http://schemas.microsoft.com/office/drawing/2012/chart">
            <c:ext xmlns:c16="http://schemas.microsoft.com/office/drawing/2014/chart" uri="{C3380CC4-5D6E-409C-BE32-E72D297353CC}">
              <c16:uniqueId val="{00000006-60FA-4AB6-8B8A-D004F3776FD5}"/>
            </c:ext>
          </c:extLst>
        </c:ser>
        <c:ser>
          <c:idx val="11"/>
          <c:order val="10"/>
          <c:tx>
            <c:strRef>
              <c:f>'Business As Usual'!$C$63</c:f>
              <c:strCache>
                <c:ptCount val="1"/>
                <c:pt idx="0">
                  <c:v>Waste Emissions</c:v>
                </c:pt>
              </c:strCache>
            </c:strRef>
          </c:tx>
          <c:spPr>
            <a:solidFill>
              <a:schemeClr val="accent6">
                <a:lumMod val="60000"/>
              </a:schemeClr>
            </a:solidFill>
            <a:ln>
              <a:noFill/>
            </a:ln>
            <a:effectLst/>
          </c:spPr>
          <c:val>
            <c:numRef>
              <c:f>'Business As Usual'!$D$63:$AI$63</c:f>
              <c:numCache>
                <c:formatCode>#,##0</c:formatCode>
                <c:ptCount val="32"/>
                <c:pt idx="0">
                  <c:v>66758</c:v>
                </c:pt>
                <c:pt idx="1">
                  <c:v>67329.72949114861</c:v>
                </c:pt>
                <c:pt idx="2">
                  <c:v>67965.852421083895</c:v>
                </c:pt>
                <c:pt idx="3">
                  <c:v>68622.725334146468</c:v>
                </c:pt>
                <c:pt idx="4">
                  <c:v>69303.200092881365</c:v>
                </c:pt>
                <c:pt idx="5">
                  <c:v>70039.21737134525</c:v>
                </c:pt>
                <c:pt idx="6">
                  <c:v>70835.310882650228</c:v>
                </c:pt>
                <c:pt idx="7">
                  <c:v>71708.638407804756</c:v>
                </c:pt>
                <c:pt idx="8">
                  <c:v>72616.268809287751</c:v>
                </c:pt>
                <c:pt idx="9">
                  <c:v>73507.924953788664</c:v>
                </c:pt>
                <c:pt idx="10">
                  <c:v>74375.363370859472</c:v>
                </c:pt>
                <c:pt idx="11">
                  <c:v>75220.800487585628</c:v>
                </c:pt>
                <c:pt idx="12">
                  <c:v>76045.787953226027</c:v>
                </c:pt>
                <c:pt idx="13">
                  <c:v>76844.729725113386</c:v>
                </c:pt>
                <c:pt idx="14">
                  <c:v>77616.800582532145</c:v>
                </c:pt>
                <c:pt idx="15">
                  <c:v>78357.163662122199</c:v>
                </c:pt>
                <c:pt idx="16">
                  <c:v>79075.00577357148</c:v>
                </c:pt>
                <c:pt idx="17">
                  <c:v>79769.082104279267</c:v>
                </c:pt>
                <c:pt idx="18">
                  <c:v>80437.961438405953</c:v>
                </c:pt>
                <c:pt idx="19">
                  <c:v>81082.193225979936</c:v>
                </c:pt>
                <c:pt idx="20">
                  <c:v>17522.107803711493</c:v>
                </c:pt>
                <c:pt idx="21">
                  <c:v>17784.059514331402</c:v>
                </c:pt>
                <c:pt idx="22">
                  <c:v>18043.393044362245</c:v>
                </c:pt>
                <c:pt idx="23">
                  <c:v>18300.066105854115</c:v>
                </c:pt>
                <c:pt idx="24">
                  <c:v>18554.135449974048</c:v>
                </c:pt>
                <c:pt idx="25">
                  <c:v>18805.765459069495</c:v>
                </c:pt>
                <c:pt idx="26">
                  <c:v>19055.217896648861</c:v>
                </c:pt>
                <c:pt idx="27">
                  <c:v>19302.780528880114</c:v>
                </c:pt>
                <c:pt idx="28">
                  <c:v>19548.7804800905</c:v>
                </c:pt>
                <c:pt idx="29">
                  <c:v>19793.502205160035</c:v>
                </c:pt>
                <c:pt idx="30">
                  <c:v>20037.333005586363</c:v>
                </c:pt>
                <c:pt idx="31">
                  <c:v>20280.643893970901</c:v>
                </c:pt>
              </c:numCache>
            </c:numRef>
          </c:val>
          <c:extLst>
            <c:ext xmlns:c16="http://schemas.microsoft.com/office/drawing/2014/chart" uri="{C3380CC4-5D6E-409C-BE32-E72D297353CC}">
              <c16:uniqueId val="{00000007-60FA-4AB6-8B8A-D004F3776FD5}"/>
            </c:ext>
          </c:extLst>
        </c:ser>
        <c:ser>
          <c:idx val="12"/>
          <c:order val="11"/>
          <c:tx>
            <c:strRef>
              <c:f>'Business As Usual'!$C$65</c:f>
              <c:strCache>
                <c:ptCount val="1"/>
                <c:pt idx="0">
                  <c:v>Wastewater Emissions</c:v>
                </c:pt>
              </c:strCache>
            </c:strRef>
          </c:tx>
          <c:spPr>
            <a:solidFill>
              <a:schemeClr val="accent1">
                <a:lumMod val="80000"/>
                <a:lumOff val="20000"/>
              </a:schemeClr>
            </a:solidFill>
            <a:ln>
              <a:noFill/>
            </a:ln>
            <a:effectLst/>
          </c:spPr>
          <c:val>
            <c:numRef>
              <c:f>'Business As Usual'!$D$65:$AI$65</c:f>
              <c:numCache>
                <c:formatCode>#,##0</c:formatCode>
                <c:ptCount val="32"/>
                <c:pt idx="0">
                  <c:v>5523</c:v>
                </c:pt>
                <c:pt idx="1">
                  <c:v>5570.3001285181363</c:v>
                </c:pt>
                <c:pt idx="2">
                  <c:v>5622.9276329675295</c:v>
                </c:pt>
                <c:pt idx="3">
                  <c:v>5677.2718179168178</c:v>
                </c:pt>
                <c:pt idx="4">
                  <c:v>5733.5686226816824</c:v>
                </c:pt>
                <c:pt idx="5">
                  <c:v>5794.4605521726198</c:v>
                </c:pt>
                <c:pt idx="6">
                  <c:v>5860.3226879906106</c:v>
                </c:pt>
                <c:pt idx="7">
                  <c:v>5932.5745217997182</c:v>
                </c:pt>
                <c:pt idx="8">
                  <c:v>6007.6642894289253</c:v>
                </c:pt>
                <c:pt idx="9">
                  <c:v>6081.4324802986121</c:v>
                </c:pt>
                <c:pt idx="10">
                  <c:v>6153.1970984339978</c:v>
                </c:pt>
                <c:pt idx="11">
                  <c:v>6223.1415125218764</c:v>
                </c:pt>
                <c:pt idx="12">
                  <c:v>6291.3940930774934</c:v>
                </c:pt>
                <c:pt idx="13">
                  <c:v>6357.4918702148234</c:v>
                </c:pt>
                <c:pt idx="14">
                  <c:v>6421.3665720561585</c:v>
                </c:pt>
                <c:pt idx="15">
                  <c:v>6482.6180368779906</c:v>
                </c:pt>
                <c:pt idx="16">
                  <c:v>6542.0063046741252</c:v>
                </c:pt>
                <c:pt idx="17">
                  <c:v>6599.4283900346682</c:v>
                </c:pt>
                <c:pt idx="18">
                  <c:v>6654.7658861007831</c:v>
                </c:pt>
                <c:pt idx="19">
                  <c:v>6708.0642497841036</c:v>
                </c:pt>
                <c:pt idx="20">
                  <c:v>6759.0555212151585</c:v>
                </c:pt>
                <c:pt idx="21">
                  <c:v>6806.4718947410365</c:v>
                </c:pt>
                <c:pt idx="22">
                  <c:v>6850.311616366118</c:v>
                </c:pt>
                <c:pt idx="23">
                  <c:v>6889.9518820289204</c:v>
                </c:pt>
                <c:pt idx="24">
                  <c:v>6925.7812782399105</c:v>
                </c:pt>
                <c:pt idx="25">
                  <c:v>6957.796501699082</c:v>
                </c:pt>
                <c:pt idx="26">
                  <c:v>6988.1108934506992</c:v>
                </c:pt>
                <c:pt idx="27">
                  <c:v>7016.9458570438283</c:v>
                </c:pt>
                <c:pt idx="28">
                  <c:v>7042.6860939717671</c:v>
                </c:pt>
                <c:pt idx="29">
                  <c:v>7066.9984832278005</c:v>
                </c:pt>
                <c:pt idx="30">
                  <c:v>7090.522686047545</c:v>
                </c:pt>
                <c:pt idx="31">
                  <c:v>7111.3972767460455</c:v>
                </c:pt>
              </c:numCache>
            </c:numRef>
          </c:val>
          <c:extLst>
            <c:ext xmlns:c16="http://schemas.microsoft.com/office/drawing/2014/chart" uri="{C3380CC4-5D6E-409C-BE32-E72D297353CC}">
              <c16:uniqueId val="{00000008-60FA-4AB6-8B8A-D004F3776FD5}"/>
            </c:ext>
          </c:extLst>
        </c:ser>
        <c:ser>
          <c:idx val="1"/>
          <c:order val="13"/>
          <c:tx>
            <c:strRef>
              <c:f>'Business As Usual'!$C$52</c:f>
              <c:strCache>
                <c:ptCount val="1"/>
                <c:pt idx="0">
                  <c:v>Xcel Energy Electricity Emissions</c:v>
                </c:pt>
              </c:strCache>
            </c:strRef>
          </c:tx>
          <c:spPr>
            <a:solidFill>
              <a:schemeClr val="accent2"/>
            </a:solidFill>
            <a:ln>
              <a:noFill/>
            </a:ln>
            <a:effectLst/>
          </c:spP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Usual'!$D$52:$AI$52</c:f>
              <c:numCache>
                <c:formatCode>#,##0</c:formatCode>
                <c:ptCount val="32"/>
                <c:pt idx="0">
                  <c:v>150962.30049300758</c:v>
                </c:pt>
                <c:pt idx="1">
                  <c:v>145630.00891821575</c:v>
                </c:pt>
                <c:pt idx="2">
                  <c:v>144548.87585739867</c:v>
                </c:pt>
                <c:pt idx="3">
                  <c:v>135652.17859605269</c:v>
                </c:pt>
                <c:pt idx="4">
                  <c:v>126514.7790573761</c:v>
                </c:pt>
                <c:pt idx="5">
                  <c:v>117470.05703068011</c:v>
                </c:pt>
                <c:pt idx="6">
                  <c:v>108229.22444257002</c:v>
                </c:pt>
                <c:pt idx="7">
                  <c:v>99049.36815570305</c:v>
                </c:pt>
                <c:pt idx="8">
                  <c:v>89517.267336715158</c:v>
                </c:pt>
                <c:pt idx="9">
                  <c:v>79564.010261032032</c:v>
                </c:pt>
                <c:pt idx="10">
                  <c:v>69183.223140068381</c:v>
                </c:pt>
                <c:pt idx="11">
                  <c:v>58369.254161475095</c:v>
                </c:pt>
                <c:pt idx="12">
                  <c:v>56464.799074544913</c:v>
                </c:pt>
                <c:pt idx="13">
                  <c:v>54455.792091797921</c:v>
                </c:pt>
                <c:pt idx="14">
                  <c:v>52340.441548688927</c:v>
                </c:pt>
                <c:pt idx="15">
                  <c:v>50101.424117005459</c:v>
                </c:pt>
                <c:pt idx="16">
                  <c:v>47754.819077898363</c:v>
                </c:pt>
                <c:pt idx="17">
                  <c:v>45299.936438926146</c:v>
                </c:pt>
                <c:pt idx="18">
                  <c:v>42736.8458113815</c:v>
                </c:pt>
                <c:pt idx="19">
                  <c:v>40065.514336079759</c:v>
                </c:pt>
                <c:pt idx="20">
                  <c:v>37286.325578038981</c:v>
                </c:pt>
                <c:pt idx="21">
                  <c:v>34400.022827971196</c:v>
                </c:pt>
                <c:pt idx="22">
                  <c:v>31407.713425977745</c:v>
                </c:pt>
                <c:pt idx="23">
                  <c:v>28310.852913373194</c:v>
                </c:pt>
                <c:pt idx="24">
                  <c:v>25111.063625205774</c:v>
                </c:pt>
                <c:pt idx="25">
                  <c:v>21810.04876470313</c:v>
                </c:pt>
                <c:pt idx="26">
                  <c:v>18409.478291491083</c:v>
                </c:pt>
                <c:pt idx="27">
                  <c:v>14910.839498780351</c:v>
                </c:pt>
                <c:pt idx="28">
                  <c:v>11315.419568008941</c:v>
                </c:pt>
                <c:pt idx="29">
                  <c:v>7624.2358659342099</c:v>
                </c:pt>
                <c:pt idx="30">
                  <c:v>3838.1051306990644</c:v>
                </c:pt>
                <c:pt idx="31">
                  <c:v>0</c:v>
                </c:pt>
              </c:numCache>
            </c:numRef>
          </c:val>
          <c:extLst>
            <c:ext xmlns:c16="http://schemas.microsoft.com/office/drawing/2014/chart" uri="{C3380CC4-5D6E-409C-BE32-E72D297353CC}">
              <c16:uniqueId val="{00000001-E091-4EB8-A546-196BB672D3ED}"/>
            </c:ext>
          </c:extLst>
        </c:ser>
        <c:ser>
          <c:idx val="14"/>
          <c:order val="14"/>
          <c:tx>
            <c:strRef>
              <c:f>'Business As Usual'!$C$66</c:f>
              <c:strCache>
                <c:ptCount val="1"/>
                <c:pt idx="0">
                  <c:v>Industrial Processes and Product Use Emissions and Refrigerants</c:v>
                </c:pt>
              </c:strCache>
            </c:strRef>
          </c:tx>
          <c:spPr>
            <a:solidFill>
              <a:schemeClr val="accent3">
                <a:lumMod val="80000"/>
                <a:lumOff val="20000"/>
              </a:schemeClr>
            </a:solidFill>
            <a:ln>
              <a:noFill/>
            </a:ln>
            <a:effectLst/>
          </c:spP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Usual'!$D$66:$AI$66</c:f>
              <c:numCache>
                <c:formatCode>#,##0</c:formatCode>
                <c:ptCount val="32"/>
                <c:pt idx="0">
                  <c:v>1103792</c:v>
                </c:pt>
                <c:pt idx="1">
                  <c:v>1113245.1058224319</c:v>
                </c:pt>
                <c:pt idx="2">
                  <c:v>1123762.9074503887</c:v>
                </c:pt>
                <c:pt idx="3">
                  <c:v>1134623.7940325986</c:v>
                </c:pt>
                <c:pt idx="4">
                  <c:v>1145874.9189149125</c:v>
                </c:pt>
                <c:pt idx="5">
                  <c:v>1158044.3964880903</c:v>
                </c:pt>
                <c:pt idx="6">
                  <c:v>1171207.1881989017</c:v>
                </c:pt>
                <c:pt idx="7">
                  <c:v>1185646.9847123586</c:v>
                </c:pt>
                <c:pt idx="8">
                  <c:v>1200653.9528077738</c:v>
                </c:pt>
                <c:pt idx="9">
                  <c:v>1215396.7988943995</c:v>
                </c:pt>
                <c:pt idx="10">
                  <c:v>1229739.2235514508</c:v>
                </c:pt>
                <c:pt idx="11">
                  <c:v>1243717.8736899423</c:v>
                </c:pt>
                <c:pt idx="12">
                  <c:v>1257358.4046326629</c:v>
                </c:pt>
                <c:pt idx="13">
                  <c:v>1270568.2901336527</c:v>
                </c:pt>
                <c:pt idx="14">
                  <c:v>1283333.8858053621</c:v>
                </c:pt>
                <c:pt idx="15">
                  <c:v>1295575.2178456699</c:v>
                </c:pt>
                <c:pt idx="16">
                  <c:v>1307444.1830615366</c:v>
                </c:pt>
                <c:pt idx="17">
                  <c:v>1318920.1994374709</c:v>
                </c:pt>
                <c:pt idx="18">
                  <c:v>1329979.6029243092</c:v>
                </c:pt>
                <c:pt idx="19">
                  <c:v>1340631.4782541553</c:v>
                </c:pt>
                <c:pt idx="20">
                  <c:v>1350822.2726549206</c:v>
                </c:pt>
                <c:pt idx="21">
                  <c:v>1360298.6104725697</c:v>
                </c:pt>
                <c:pt idx="22">
                  <c:v>1369060.1411645834</c:v>
                </c:pt>
                <c:pt idx="23">
                  <c:v>1376982.3950332194</c:v>
                </c:pt>
                <c:pt idx="24">
                  <c:v>1384143.0325314126</c:v>
                </c:pt>
                <c:pt idx="25">
                  <c:v>1390541.3934824257</c:v>
                </c:pt>
                <c:pt idx="26">
                  <c:v>1396599.8369190183</c:v>
                </c:pt>
                <c:pt idx="27">
                  <c:v>1402362.6111602618</c:v>
                </c:pt>
                <c:pt idx="28">
                  <c:v>1407506.8928186293</c:v>
                </c:pt>
                <c:pt idx="29">
                  <c:v>1412365.8138328779</c:v>
                </c:pt>
                <c:pt idx="30">
                  <c:v>1417067.2128694181</c:v>
                </c:pt>
                <c:pt idx="31">
                  <c:v>1421239.0771128146</c:v>
                </c:pt>
              </c:numCache>
            </c:numRef>
          </c:val>
          <c:extLst>
            <c:ext xmlns:c16="http://schemas.microsoft.com/office/drawing/2014/chart" uri="{C3380CC4-5D6E-409C-BE32-E72D297353CC}">
              <c16:uniqueId val="{00000001-0755-41D1-B721-B8F9C0B54BC7}"/>
            </c:ext>
          </c:extLst>
        </c:ser>
        <c:dLbls>
          <c:showLegendKey val="0"/>
          <c:showVal val="0"/>
          <c:showCatName val="0"/>
          <c:showSerName val="0"/>
          <c:showPercent val="0"/>
          <c:showBubbleSize val="0"/>
        </c:dLbls>
        <c:axId val="523667840"/>
        <c:axId val="523676696"/>
        <c:extLst>
          <c:ext xmlns:c15="http://schemas.microsoft.com/office/drawing/2012/chart" uri="{02D57815-91ED-43cb-92C2-25804820EDAC}">
            <c15:filteredAreaSeries>
              <c15:ser>
                <c:idx val="7"/>
                <c:order val="3"/>
                <c:tx>
                  <c:strRef>
                    <c:extLst>
                      <c:ext uri="{02D57815-91ED-43cb-92C2-25804820EDAC}">
                        <c15:formulaRef>
                          <c15:sqref>'Business As Usual'!$C$56</c15:sqref>
                        </c15:formulaRef>
                      </c:ext>
                    </c:extLst>
                    <c:strCache>
                      <c:ptCount val="1"/>
                      <c:pt idx="0">
                        <c:v>Gasoline Emissions </c:v>
                      </c:pt>
                    </c:strCache>
                  </c:strRef>
                </c:tx>
                <c:spPr>
                  <a:solidFill>
                    <a:schemeClr val="accent2">
                      <a:lumMod val="60000"/>
                    </a:schemeClr>
                  </a:solidFill>
                  <a:ln w="25400">
                    <a:noFill/>
                  </a:ln>
                  <a:effectLst/>
                </c:spPr>
                <c:cat>
                  <c:numRef>
                    <c:extLst>
                      <c:ext uri="{02D57815-91ED-43cb-92C2-25804820EDAC}">
                        <c15:formulaRef>
                          <c15:sqref>'Business As Usual'!$D$35:$AI$35</c15:sqref>
                        </c15:formulaRef>
                      </c:ext>
                    </c:extLst>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extLst>
                      <c:ext uri="{02D57815-91ED-43cb-92C2-25804820EDAC}">
                        <c15:formulaRef>
                          <c15:sqref>'Business As Usual'!$D$56:$AI$56</c15:sqref>
                        </c15:formulaRef>
                      </c:ext>
                    </c:extLst>
                    <c:numCache>
                      <c:formatCode>#,##0</c:formatCode>
                      <c:ptCount val="32"/>
                      <c:pt idx="0">
                        <c:v>231736.68927119946</c:v>
                      </c:pt>
                      <c:pt idx="1">
                        <c:v>228944.82410196614</c:v>
                      </c:pt>
                      <c:pt idx="2">
                        <c:v>225741.94149965281</c:v>
                      </c:pt>
                      <c:pt idx="3">
                        <c:v>222245.85293641602</c:v>
                      </c:pt>
                      <c:pt idx="4">
                        <c:v>218346.7924530936</c:v>
                      </c:pt>
                      <c:pt idx="5">
                        <c:v>214888.78235976238</c:v>
                      </c:pt>
                      <c:pt idx="6">
                        <c:v>211327.92442447535</c:v>
                      </c:pt>
                      <c:pt idx="7">
                        <c:v>208853.39393261133</c:v>
                      </c:pt>
                      <c:pt idx="8">
                        <c:v>206710.57930006762</c:v>
                      </c:pt>
                      <c:pt idx="9">
                        <c:v>204865.75537009138</c:v>
                      </c:pt>
                      <c:pt idx="10">
                        <c:v>203344.68341816682</c:v>
                      </c:pt>
                      <c:pt idx="11">
                        <c:v>202118.35452882916</c:v>
                      </c:pt>
                      <c:pt idx="12">
                        <c:v>201187.20787322137</c:v>
                      </c:pt>
                      <c:pt idx="13">
                        <c:v>200536.94344763222</c:v>
                      </c:pt>
                      <c:pt idx="14">
                        <c:v>200146.91847182898</c:v>
                      </c:pt>
                      <c:pt idx="15">
                        <c:v>199930.32999607304</c:v>
                      </c:pt>
                      <c:pt idx="16">
                        <c:v>199968.38919581717</c:v>
                      </c:pt>
                      <c:pt idx="17">
                        <c:v>200239.05095934554</c:v>
                      </c:pt>
                      <c:pt idx="18">
                        <c:v>200740.81664191582</c:v>
                      </c:pt>
                      <c:pt idx="19">
                        <c:v>201441.9070457583</c:v>
                      </c:pt>
                      <c:pt idx="20">
                        <c:v>202333.38132599686</c:v>
                      </c:pt>
                      <c:pt idx="21">
                        <c:v>203383.06056913541</c:v>
                      </c:pt>
                      <c:pt idx="22">
                        <c:v>203608.95848120947</c:v>
                      </c:pt>
                      <c:pt idx="23">
                        <c:v>203798.94692530733</c:v>
                      </c:pt>
                      <c:pt idx="24">
                        <c:v>203920.46399175058</c:v>
                      </c:pt>
                      <c:pt idx="25">
                        <c:v>203977.43744025976</c:v>
                      </c:pt>
                      <c:pt idx="26">
                        <c:v>203974.69463617544</c:v>
                      </c:pt>
                      <c:pt idx="27">
                        <c:v>203917.14425464947</c:v>
                      </c:pt>
                      <c:pt idx="28">
                        <c:v>203809.90327541874</c:v>
                      </c:pt>
                      <c:pt idx="29">
                        <c:v>203657.43219137349</c:v>
                      </c:pt>
                      <c:pt idx="30">
                        <c:v>203465.04801950898</c:v>
                      </c:pt>
                      <c:pt idx="31">
                        <c:v>203237.66771485118</c:v>
                      </c:pt>
                    </c:numCache>
                  </c:numRef>
                </c:val>
                <c:extLst>
                  <c:ext xmlns:c16="http://schemas.microsoft.com/office/drawing/2014/chart" uri="{C3380CC4-5D6E-409C-BE32-E72D297353CC}">
                    <c16:uniqueId val="{00000033-60FA-4AB6-8B8A-D004F3776FD5}"/>
                  </c:ext>
                </c:extLst>
              </c15:ser>
            </c15:filteredAreaSeries>
            <c15:filteredAreaSeries>
              <c15:ser>
                <c:idx val="3"/>
                <c:order val="5"/>
                <c:tx>
                  <c:strRef>
                    <c:extLst xmlns:c15="http://schemas.microsoft.com/office/drawing/2012/chart">
                      <c:ext xmlns:c15="http://schemas.microsoft.com/office/drawing/2012/chart" uri="{02D57815-91ED-43cb-92C2-25804820EDAC}">
                        <c15:formulaRef>
                          <c15:sqref>'Business As Usual'!$C$58</c15:sqref>
                        </c15:formulaRef>
                      </c:ext>
                    </c:extLst>
                    <c:strCache>
                      <c:ptCount val="1"/>
                      <c:pt idx="0">
                        <c:v>Ethanol Emissions</c:v>
                      </c:pt>
                    </c:strCache>
                  </c:strRef>
                </c:tx>
                <c:spPr>
                  <a:solidFill>
                    <a:schemeClr val="accent4"/>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'Business As Usual'!$D$35:$AI$35</c15:sqref>
                        </c15:formulaRef>
                      </c:ext>
                    </c:extLst>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extLst xmlns:c15="http://schemas.microsoft.com/office/drawing/2012/chart">
                      <c:ext xmlns:c15="http://schemas.microsoft.com/office/drawing/2012/chart" uri="{02D57815-91ED-43cb-92C2-25804820EDAC}">
                        <c15:formulaRef>
                          <c15:sqref>'Business As Usual'!$D$58:$AI$58</c15:sqref>
                        </c15:formulaRef>
                      </c:ext>
                    </c:extLst>
                    <c:numCache>
                      <c:formatCode>#,##0</c:formatCode>
                      <c:ptCount val="32"/>
                      <c:pt idx="0">
                        <c:v>2028.6630420420004</c:v>
                      </c:pt>
                      <c:pt idx="1">
                        <c:v>1210.8325209207396</c:v>
                      </c:pt>
                      <c:pt idx="2">
                        <c:v>1208.4691777835751</c:v>
                      </c:pt>
                      <c:pt idx="3">
                        <c:v>1206.0571670815311</c:v>
                      </c:pt>
                      <c:pt idx="4">
                        <c:v>1203.1894970731307</c:v>
                      </c:pt>
                      <c:pt idx="5">
                        <c:v>1203.297475573524</c:v>
                      </c:pt>
                      <c:pt idx="6">
                        <c:v>1204.0733182671343</c:v>
                      </c:pt>
                      <c:pt idx="7">
                        <c:v>1209.0291502639279</c:v>
                      </c:pt>
                      <c:pt idx="8">
                        <c:v>1214.1648248010504</c:v>
                      </c:pt>
                      <c:pt idx="9">
                        <c:v>1218.7829366545297</c:v>
                      </c:pt>
                      <c:pt idx="10">
                        <c:v>1222.8726062527483</c:v>
                      </c:pt>
                      <c:pt idx="11">
                        <c:v>1226.4182940243386</c:v>
                      </c:pt>
                      <c:pt idx="12">
                        <c:v>1229.4176441229779</c:v>
                      </c:pt>
                      <c:pt idx="13">
                        <c:v>1231.8317838171413</c:v>
                      </c:pt>
                      <c:pt idx="14">
                        <c:v>1233.6340093333495</c:v>
                      </c:pt>
                      <c:pt idx="15">
                        <c:v>1234.404983740751</c:v>
                      </c:pt>
                      <c:pt idx="16">
                        <c:v>1234.5019197725674</c:v>
                      </c:pt>
                      <c:pt idx="17">
                        <c:v>1233.8943301833501</c:v>
                      </c:pt>
                      <c:pt idx="18">
                        <c:v>1232.5639850916766</c:v>
                      </c:pt>
                      <c:pt idx="19">
                        <c:v>1230.4832701281489</c:v>
                      </c:pt>
                      <c:pt idx="20">
                        <c:v>1227.6297269579852</c:v>
                      </c:pt>
                      <c:pt idx="21">
                        <c:v>1223.9862804664763</c:v>
                      </c:pt>
                      <c:pt idx="22">
                        <c:v>1219.4319983871708</c:v>
                      </c:pt>
                      <c:pt idx="23">
                        <c:v>1214.2314507671485</c:v>
                      </c:pt>
                      <c:pt idx="24">
                        <c:v>1208.2288618837881</c:v>
                      </c:pt>
                      <c:pt idx="25">
                        <c:v>1201.4443576914437</c:v>
                      </c:pt>
                      <c:pt idx="26">
                        <c:v>1193.9033554178518</c:v>
                      </c:pt>
                      <c:pt idx="27">
                        <c:v>1185.6315793813399</c:v>
                      </c:pt>
                      <c:pt idx="28">
                        <c:v>1176.6557046800303</c:v>
                      </c:pt>
                      <c:pt idx="29">
                        <c:v>1166.9982784901354</c:v>
                      </c:pt>
                      <c:pt idx="30">
                        <c:v>1156.6863830717252</c:v>
                      </c:pt>
                      <c:pt idx="31">
                        <c:v>1145.7442716884411</c:v>
                      </c:pt>
                    </c:numCache>
                  </c:numRef>
                </c:val>
                <c:extLst xmlns:c15="http://schemas.microsoft.com/office/drawing/2012/chart">
                  <c:ext xmlns:c16="http://schemas.microsoft.com/office/drawing/2014/chart" uri="{C3380CC4-5D6E-409C-BE32-E72D297353CC}">
                    <c16:uniqueId val="{00000035-60FA-4AB6-8B8A-D004F3776FD5}"/>
                  </c:ext>
                </c:extLst>
              </c15:ser>
            </c15:filteredAreaSeries>
          </c:ext>
        </c:extLst>
      </c:areaChart>
      <c:lineChart>
        <c:grouping val="standard"/>
        <c:varyColors val="0"/>
        <c:ser>
          <c:idx val="13"/>
          <c:order val="12"/>
          <c:tx>
            <c:strRef>
              <c:f>'Business As Usual'!$C$67</c:f>
              <c:strCache>
                <c:ptCount val="1"/>
                <c:pt idx="0">
                  <c:v>Total Emissions </c:v>
                </c:pt>
              </c:strCache>
            </c:strRef>
          </c:tx>
          <c:spPr>
            <a:ln w="28575" cap="rnd">
              <a:solidFill>
                <a:schemeClr val="tx1"/>
              </a:solidFill>
              <a:round/>
            </a:ln>
            <a:effectLst/>
          </c:spPr>
          <c:marker>
            <c:symbol val="none"/>
          </c:marker>
          <c:dLbls>
            <c:dLbl>
              <c:idx val="0"/>
              <c:layout>
                <c:manualLayout>
                  <c:x val="-3.1321544758857399E-3"/>
                  <c:y val="-7.3054962971241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0FA-4AB6-8B8A-D004F3776FD5}"/>
                </c:ext>
              </c:extLst>
            </c:dLbl>
            <c:dLbl>
              <c:idx val="1"/>
              <c:delete val="1"/>
              <c:extLst>
                <c:ext xmlns:c15="http://schemas.microsoft.com/office/drawing/2012/chart" uri="{CE6537A1-D6FC-4f65-9D91-7224C49458BB}"/>
                <c:ext xmlns:c16="http://schemas.microsoft.com/office/drawing/2014/chart" uri="{C3380CC4-5D6E-409C-BE32-E72D297353CC}">
                  <c16:uniqueId val="{0000000A-60FA-4AB6-8B8A-D004F3776FD5}"/>
                </c:ext>
              </c:extLst>
            </c:dLbl>
            <c:dLbl>
              <c:idx val="2"/>
              <c:delete val="1"/>
              <c:extLst>
                <c:ext xmlns:c15="http://schemas.microsoft.com/office/drawing/2012/chart" uri="{CE6537A1-D6FC-4f65-9D91-7224C49458BB}"/>
                <c:ext xmlns:c16="http://schemas.microsoft.com/office/drawing/2014/chart" uri="{C3380CC4-5D6E-409C-BE32-E72D297353CC}">
                  <c16:uniqueId val="{0000000B-60FA-4AB6-8B8A-D004F3776FD5}"/>
                </c:ext>
              </c:extLst>
            </c:dLbl>
            <c:dLbl>
              <c:idx val="3"/>
              <c:delete val="1"/>
              <c:extLst>
                <c:ext xmlns:c15="http://schemas.microsoft.com/office/drawing/2012/chart" uri="{CE6537A1-D6FC-4f65-9D91-7224C49458BB}"/>
                <c:ext xmlns:c16="http://schemas.microsoft.com/office/drawing/2014/chart" uri="{C3380CC4-5D6E-409C-BE32-E72D297353CC}">
                  <c16:uniqueId val="{0000000C-60FA-4AB6-8B8A-D004F3776FD5}"/>
                </c:ext>
              </c:extLst>
            </c:dLbl>
            <c:dLbl>
              <c:idx val="4"/>
              <c:delete val="1"/>
              <c:extLst>
                <c:ext xmlns:c15="http://schemas.microsoft.com/office/drawing/2012/chart" uri="{CE6537A1-D6FC-4f65-9D91-7224C49458BB}"/>
                <c:ext xmlns:c16="http://schemas.microsoft.com/office/drawing/2014/chart" uri="{C3380CC4-5D6E-409C-BE32-E72D297353CC}">
                  <c16:uniqueId val="{0000000D-60FA-4AB6-8B8A-D004F3776FD5}"/>
                </c:ext>
              </c:extLst>
            </c:dLbl>
            <c:dLbl>
              <c:idx val="5"/>
              <c:delete val="1"/>
              <c:extLst>
                <c:ext xmlns:c15="http://schemas.microsoft.com/office/drawing/2012/chart" uri="{CE6537A1-D6FC-4f65-9D91-7224C49458BB}"/>
                <c:ext xmlns:c16="http://schemas.microsoft.com/office/drawing/2014/chart" uri="{C3380CC4-5D6E-409C-BE32-E72D297353CC}">
                  <c16:uniqueId val="{0000000E-60FA-4AB6-8B8A-D004F3776FD5}"/>
                </c:ext>
              </c:extLst>
            </c:dLbl>
            <c:dLbl>
              <c:idx val="6"/>
              <c:delete val="1"/>
              <c:extLst>
                <c:ext xmlns:c15="http://schemas.microsoft.com/office/drawing/2012/chart" uri="{CE6537A1-D6FC-4f65-9D91-7224C49458BB}"/>
                <c:ext xmlns:c16="http://schemas.microsoft.com/office/drawing/2014/chart" uri="{C3380CC4-5D6E-409C-BE32-E72D297353CC}">
                  <c16:uniqueId val="{0000000F-60FA-4AB6-8B8A-D004F3776FD5}"/>
                </c:ext>
              </c:extLst>
            </c:dLbl>
            <c:dLbl>
              <c:idx val="7"/>
              <c:delete val="1"/>
              <c:extLst>
                <c:ext xmlns:c15="http://schemas.microsoft.com/office/drawing/2012/chart" uri="{CE6537A1-D6FC-4f65-9D91-7224C49458BB}"/>
                <c:ext xmlns:c16="http://schemas.microsoft.com/office/drawing/2014/chart" uri="{C3380CC4-5D6E-409C-BE32-E72D297353CC}">
                  <c16:uniqueId val="{00000010-60FA-4AB6-8B8A-D004F3776FD5}"/>
                </c:ext>
              </c:extLst>
            </c:dLbl>
            <c:dLbl>
              <c:idx val="8"/>
              <c:delete val="1"/>
              <c:extLst>
                <c:ext xmlns:c15="http://schemas.microsoft.com/office/drawing/2012/chart" uri="{CE6537A1-D6FC-4f65-9D91-7224C49458BB}"/>
                <c:ext xmlns:c16="http://schemas.microsoft.com/office/drawing/2014/chart" uri="{C3380CC4-5D6E-409C-BE32-E72D297353CC}">
                  <c16:uniqueId val="{00000011-60FA-4AB6-8B8A-D004F3776FD5}"/>
                </c:ext>
              </c:extLst>
            </c:dLbl>
            <c:dLbl>
              <c:idx val="9"/>
              <c:delete val="1"/>
              <c:extLst>
                <c:ext xmlns:c15="http://schemas.microsoft.com/office/drawing/2012/chart" uri="{CE6537A1-D6FC-4f65-9D91-7224C49458BB}"/>
                <c:ext xmlns:c16="http://schemas.microsoft.com/office/drawing/2014/chart" uri="{C3380CC4-5D6E-409C-BE32-E72D297353CC}">
                  <c16:uniqueId val="{00000012-60FA-4AB6-8B8A-D004F3776FD5}"/>
                </c:ext>
              </c:extLst>
            </c:dLbl>
            <c:dLbl>
              <c:idx val="10"/>
              <c:delete val="1"/>
              <c:extLst>
                <c:ext xmlns:c15="http://schemas.microsoft.com/office/drawing/2012/chart" uri="{CE6537A1-D6FC-4f65-9D91-7224C49458BB}"/>
                <c:ext xmlns:c16="http://schemas.microsoft.com/office/drawing/2014/chart" uri="{C3380CC4-5D6E-409C-BE32-E72D297353CC}">
                  <c16:uniqueId val="{00000013-60FA-4AB6-8B8A-D004F3776FD5}"/>
                </c:ext>
              </c:extLst>
            </c:dLbl>
            <c:dLbl>
              <c:idx val="11"/>
              <c:delete val="1"/>
              <c:extLst>
                <c:ext xmlns:c15="http://schemas.microsoft.com/office/drawing/2012/chart" uri="{CE6537A1-D6FC-4f65-9D91-7224C49458BB}"/>
                <c:ext xmlns:c16="http://schemas.microsoft.com/office/drawing/2014/chart" uri="{C3380CC4-5D6E-409C-BE32-E72D297353CC}">
                  <c16:uniqueId val="{00000014-60FA-4AB6-8B8A-D004F3776FD5}"/>
                </c:ext>
              </c:extLst>
            </c:dLbl>
            <c:dLbl>
              <c:idx val="12"/>
              <c:delete val="1"/>
              <c:extLst>
                <c:ext xmlns:c15="http://schemas.microsoft.com/office/drawing/2012/chart" uri="{CE6537A1-D6FC-4f65-9D91-7224C49458BB}"/>
                <c:ext xmlns:c16="http://schemas.microsoft.com/office/drawing/2014/chart" uri="{C3380CC4-5D6E-409C-BE32-E72D297353CC}">
                  <c16:uniqueId val="{00000015-60FA-4AB6-8B8A-D004F3776FD5}"/>
                </c:ext>
              </c:extLst>
            </c:dLbl>
            <c:dLbl>
              <c:idx val="13"/>
              <c:delete val="1"/>
              <c:extLst>
                <c:ext xmlns:c15="http://schemas.microsoft.com/office/drawing/2012/chart" uri="{CE6537A1-D6FC-4f65-9D91-7224C49458BB}"/>
                <c:ext xmlns:c16="http://schemas.microsoft.com/office/drawing/2014/chart" uri="{C3380CC4-5D6E-409C-BE32-E72D297353CC}">
                  <c16:uniqueId val="{00000016-60FA-4AB6-8B8A-D004F3776FD5}"/>
                </c:ext>
              </c:extLst>
            </c:dLbl>
            <c:dLbl>
              <c:idx val="14"/>
              <c:delete val="1"/>
              <c:extLst>
                <c:ext xmlns:c15="http://schemas.microsoft.com/office/drawing/2012/chart" uri="{CE6537A1-D6FC-4f65-9D91-7224C49458BB}"/>
                <c:ext xmlns:c16="http://schemas.microsoft.com/office/drawing/2014/chart" uri="{C3380CC4-5D6E-409C-BE32-E72D297353CC}">
                  <c16:uniqueId val="{00000017-60FA-4AB6-8B8A-D004F3776FD5}"/>
                </c:ext>
              </c:extLst>
            </c:dLbl>
            <c:dLbl>
              <c:idx val="15"/>
              <c:delete val="1"/>
              <c:extLst>
                <c:ext xmlns:c15="http://schemas.microsoft.com/office/drawing/2012/chart" uri="{CE6537A1-D6FC-4f65-9D91-7224C49458BB}"/>
                <c:ext xmlns:c16="http://schemas.microsoft.com/office/drawing/2014/chart" uri="{C3380CC4-5D6E-409C-BE32-E72D297353CC}">
                  <c16:uniqueId val="{00000018-60FA-4AB6-8B8A-D004F3776FD5}"/>
                </c:ext>
              </c:extLst>
            </c:dLbl>
            <c:dLbl>
              <c:idx val="16"/>
              <c:delete val="1"/>
              <c:extLst>
                <c:ext xmlns:c15="http://schemas.microsoft.com/office/drawing/2012/chart" uri="{CE6537A1-D6FC-4f65-9D91-7224C49458BB}"/>
                <c:ext xmlns:c16="http://schemas.microsoft.com/office/drawing/2014/chart" uri="{C3380CC4-5D6E-409C-BE32-E72D297353CC}">
                  <c16:uniqueId val="{00000019-60FA-4AB6-8B8A-D004F3776FD5}"/>
                </c:ext>
              </c:extLst>
            </c:dLbl>
            <c:dLbl>
              <c:idx val="17"/>
              <c:delete val="1"/>
              <c:extLst>
                <c:ext xmlns:c15="http://schemas.microsoft.com/office/drawing/2012/chart" uri="{CE6537A1-D6FC-4f65-9D91-7224C49458BB}"/>
                <c:ext xmlns:c16="http://schemas.microsoft.com/office/drawing/2014/chart" uri="{C3380CC4-5D6E-409C-BE32-E72D297353CC}">
                  <c16:uniqueId val="{0000001A-60FA-4AB6-8B8A-D004F3776FD5}"/>
                </c:ext>
              </c:extLst>
            </c:dLbl>
            <c:dLbl>
              <c:idx val="18"/>
              <c:delete val="1"/>
              <c:extLst>
                <c:ext xmlns:c15="http://schemas.microsoft.com/office/drawing/2012/chart" uri="{CE6537A1-D6FC-4f65-9D91-7224C49458BB}"/>
                <c:ext xmlns:c16="http://schemas.microsoft.com/office/drawing/2014/chart" uri="{C3380CC4-5D6E-409C-BE32-E72D297353CC}">
                  <c16:uniqueId val="{0000001B-60FA-4AB6-8B8A-D004F3776FD5}"/>
                </c:ext>
              </c:extLst>
            </c:dLbl>
            <c:dLbl>
              <c:idx val="19"/>
              <c:delete val="1"/>
              <c:extLst>
                <c:ext xmlns:c15="http://schemas.microsoft.com/office/drawing/2012/chart" uri="{CE6537A1-D6FC-4f65-9D91-7224C49458BB}"/>
                <c:ext xmlns:c16="http://schemas.microsoft.com/office/drawing/2014/chart" uri="{C3380CC4-5D6E-409C-BE32-E72D297353CC}">
                  <c16:uniqueId val="{0000001C-60FA-4AB6-8B8A-D004F3776FD5}"/>
                </c:ext>
              </c:extLst>
            </c:dLbl>
            <c:dLbl>
              <c:idx val="20"/>
              <c:delete val="1"/>
              <c:extLst>
                <c:ext xmlns:c15="http://schemas.microsoft.com/office/drawing/2012/chart" uri="{CE6537A1-D6FC-4f65-9D91-7224C49458BB}"/>
                <c:ext xmlns:c16="http://schemas.microsoft.com/office/drawing/2014/chart" uri="{C3380CC4-5D6E-409C-BE32-E72D297353CC}">
                  <c16:uniqueId val="{0000001D-60FA-4AB6-8B8A-D004F3776FD5}"/>
                </c:ext>
              </c:extLst>
            </c:dLbl>
            <c:dLbl>
              <c:idx val="21"/>
              <c:delete val="1"/>
              <c:extLst>
                <c:ext xmlns:c15="http://schemas.microsoft.com/office/drawing/2012/chart" uri="{CE6537A1-D6FC-4f65-9D91-7224C49458BB}"/>
                <c:ext xmlns:c16="http://schemas.microsoft.com/office/drawing/2014/chart" uri="{C3380CC4-5D6E-409C-BE32-E72D297353CC}">
                  <c16:uniqueId val="{0000001E-60FA-4AB6-8B8A-D004F3776FD5}"/>
                </c:ext>
              </c:extLst>
            </c:dLbl>
            <c:dLbl>
              <c:idx val="22"/>
              <c:delete val="1"/>
              <c:extLst>
                <c:ext xmlns:c15="http://schemas.microsoft.com/office/drawing/2012/chart" uri="{CE6537A1-D6FC-4f65-9D91-7224C49458BB}"/>
                <c:ext xmlns:c16="http://schemas.microsoft.com/office/drawing/2014/chart" uri="{C3380CC4-5D6E-409C-BE32-E72D297353CC}">
                  <c16:uniqueId val="{0000001F-60FA-4AB6-8B8A-D004F3776FD5}"/>
                </c:ext>
              </c:extLst>
            </c:dLbl>
            <c:dLbl>
              <c:idx val="23"/>
              <c:delete val="1"/>
              <c:extLst>
                <c:ext xmlns:c15="http://schemas.microsoft.com/office/drawing/2012/chart" uri="{CE6537A1-D6FC-4f65-9D91-7224C49458BB}"/>
                <c:ext xmlns:c16="http://schemas.microsoft.com/office/drawing/2014/chart" uri="{C3380CC4-5D6E-409C-BE32-E72D297353CC}">
                  <c16:uniqueId val="{00000020-60FA-4AB6-8B8A-D004F3776FD5}"/>
                </c:ext>
              </c:extLst>
            </c:dLbl>
            <c:dLbl>
              <c:idx val="24"/>
              <c:delete val="1"/>
              <c:extLst>
                <c:ext xmlns:c15="http://schemas.microsoft.com/office/drawing/2012/chart" uri="{CE6537A1-D6FC-4f65-9D91-7224C49458BB}"/>
                <c:ext xmlns:c16="http://schemas.microsoft.com/office/drawing/2014/chart" uri="{C3380CC4-5D6E-409C-BE32-E72D297353CC}">
                  <c16:uniqueId val="{00000021-60FA-4AB6-8B8A-D004F3776FD5}"/>
                </c:ext>
              </c:extLst>
            </c:dLbl>
            <c:dLbl>
              <c:idx val="25"/>
              <c:delete val="1"/>
              <c:extLst>
                <c:ext xmlns:c15="http://schemas.microsoft.com/office/drawing/2012/chart" uri="{CE6537A1-D6FC-4f65-9D91-7224C49458BB}"/>
                <c:ext xmlns:c16="http://schemas.microsoft.com/office/drawing/2014/chart" uri="{C3380CC4-5D6E-409C-BE32-E72D297353CC}">
                  <c16:uniqueId val="{00000022-60FA-4AB6-8B8A-D004F3776FD5}"/>
                </c:ext>
              </c:extLst>
            </c:dLbl>
            <c:dLbl>
              <c:idx val="26"/>
              <c:delete val="1"/>
              <c:extLst>
                <c:ext xmlns:c15="http://schemas.microsoft.com/office/drawing/2012/chart" uri="{CE6537A1-D6FC-4f65-9D91-7224C49458BB}"/>
                <c:ext xmlns:c16="http://schemas.microsoft.com/office/drawing/2014/chart" uri="{C3380CC4-5D6E-409C-BE32-E72D297353CC}">
                  <c16:uniqueId val="{00000023-60FA-4AB6-8B8A-D004F3776FD5}"/>
                </c:ext>
              </c:extLst>
            </c:dLbl>
            <c:dLbl>
              <c:idx val="27"/>
              <c:delete val="1"/>
              <c:extLst>
                <c:ext xmlns:c15="http://schemas.microsoft.com/office/drawing/2012/chart" uri="{CE6537A1-D6FC-4f65-9D91-7224C49458BB}"/>
                <c:ext xmlns:c16="http://schemas.microsoft.com/office/drawing/2014/chart" uri="{C3380CC4-5D6E-409C-BE32-E72D297353CC}">
                  <c16:uniqueId val="{00000024-60FA-4AB6-8B8A-D004F3776FD5}"/>
                </c:ext>
              </c:extLst>
            </c:dLbl>
            <c:dLbl>
              <c:idx val="28"/>
              <c:delete val="1"/>
              <c:extLst>
                <c:ext xmlns:c15="http://schemas.microsoft.com/office/drawing/2012/chart" uri="{CE6537A1-D6FC-4f65-9D91-7224C49458BB}"/>
                <c:ext xmlns:c16="http://schemas.microsoft.com/office/drawing/2014/chart" uri="{C3380CC4-5D6E-409C-BE32-E72D297353CC}">
                  <c16:uniqueId val="{00000025-60FA-4AB6-8B8A-D004F3776FD5}"/>
                </c:ext>
              </c:extLst>
            </c:dLbl>
            <c:dLbl>
              <c:idx val="29"/>
              <c:delete val="1"/>
              <c:extLst>
                <c:ext xmlns:c15="http://schemas.microsoft.com/office/drawing/2012/chart" uri="{CE6537A1-D6FC-4f65-9D91-7224C49458BB}"/>
                <c:ext xmlns:c16="http://schemas.microsoft.com/office/drawing/2014/chart" uri="{C3380CC4-5D6E-409C-BE32-E72D297353CC}">
                  <c16:uniqueId val="{00000026-60FA-4AB6-8B8A-D004F3776FD5}"/>
                </c:ext>
              </c:extLst>
            </c:dLbl>
            <c:dLbl>
              <c:idx val="30"/>
              <c:delete val="1"/>
              <c:extLst>
                <c:ext xmlns:c15="http://schemas.microsoft.com/office/drawing/2012/chart" uri="{CE6537A1-D6FC-4f65-9D91-7224C49458BB}"/>
                <c:ext xmlns:c16="http://schemas.microsoft.com/office/drawing/2014/chart" uri="{C3380CC4-5D6E-409C-BE32-E72D297353CC}">
                  <c16:uniqueId val="{00000027-60FA-4AB6-8B8A-D004F3776FD5}"/>
                </c:ext>
              </c:extLst>
            </c:dLbl>
            <c:dLbl>
              <c:idx val="31"/>
              <c:layout>
                <c:manualLayout>
                  <c:x val="-2.0881029839238268E-2"/>
                  <c:y val="-6.60973474501708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60FA-4AB6-8B8A-D004F3776F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Usual'!$D$67:$AI$67</c:f>
              <c:numCache>
                <c:formatCode>#,##0</c:formatCode>
                <c:ptCount val="32"/>
                <c:pt idx="0">
                  <c:v>1939849.1819337322</c:v>
                </c:pt>
                <c:pt idx="1">
                  <c:v>1934390.4050105987</c:v>
                </c:pt>
                <c:pt idx="2">
                  <c:v>1935668.1454643696</c:v>
                </c:pt>
                <c:pt idx="3">
                  <c:v>1928931.4729958784</c:v>
                </c:pt>
                <c:pt idx="4">
                  <c:v>1921643.0471013696</c:v>
                </c:pt>
                <c:pt idx="5">
                  <c:v>1916576.0363460197</c:v>
                </c:pt>
                <c:pt idx="6">
                  <c:v>1912255.8229162849</c:v>
                </c:pt>
                <c:pt idx="7">
                  <c:v>1911482.8908016342</c:v>
                </c:pt>
                <c:pt idx="8">
                  <c:v>1911151.2293006883</c:v>
                </c:pt>
                <c:pt idx="9">
                  <c:v>1910080.0590071999</c:v>
                </c:pt>
                <c:pt idx="10">
                  <c:v>1908139.6241662279</c:v>
                </c:pt>
                <c:pt idx="11">
                  <c:v>1905322.8953475088</c:v>
                </c:pt>
                <c:pt idx="12">
                  <c:v>1921639.6098641681</c:v>
                </c:pt>
                <c:pt idx="13">
                  <c:v>1937720.045319343</c:v>
                </c:pt>
                <c:pt idx="14">
                  <c:v>1953516.1045801844</c:v>
                </c:pt>
                <c:pt idx="15">
                  <c:v>1968719.4316653586</c:v>
                </c:pt>
                <c:pt idx="16">
                  <c:v>1983684.1541122147</c:v>
                </c:pt>
                <c:pt idx="17">
                  <c:v>1998352.1083394047</c:v>
                </c:pt>
                <c:pt idx="18">
                  <c:v>2012688.3787338689</c:v>
                </c:pt>
                <c:pt idx="19">
                  <c:v>2026656.573209777</c:v>
                </c:pt>
                <c:pt idx="20">
                  <c:v>1976003.9583806123</c:v>
                </c:pt>
                <c:pt idx="21">
                  <c:v>1988458.8399873695</c:v>
                </c:pt>
                <c:pt idx="22">
                  <c:v>1999088.9514021913</c:v>
                </c:pt>
                <c:pt idx="23">
                  <c:v>2008699.4206202021</c:v>
                </c:pt>
                <c:pt idx="24">
                  <c:v>2017293.282191077</c:v>
                </c:pt>
                <c:pt idx="25">
                  <c:v>2024879.440525814</c:v>
                </c:pt>
                <c:pt idx="26">
                  <c:v>2031895.1397586321</c:v>
                </c:pt>
                <c:pt idx="27">
                  <c:v>2038397.7400092087</c:v>
                </c:pt>
                <c:pt idx="28">
                  <c:v>2044076.2056284426</c:v>
                </c:pt>
                <c:pt idx="29">
                  <c:v>2049277.3174310299</c:v>
                </c:pt>
                <c:pt idx="30">
                  <c:v>2054144.1473454582</c:v>
                </c:pt>
                <c:pt idx="31">
                  <c:v>2058361.239810002</c:v>
                </c:pt>
              </c:numCache>
            </c:numRef>
          </c:val>
          <c:smooth val="0"/>
          <c:extLst>
            <c:ext xmlns:c16="http://schemas.microsoft.com/office/drawing/2014/chart" uri="{C3380CC4-5D6E-409C-BE32-E72D297353CC}">
              <c16:uniqueId val="{00000032-60FA-4AB6-8B8A-D004F3776FD5}"/>
            </c:ext>
          </c:extLst>
        </c:ser>
        <c:dLbls>
          <c:showLegendKey val="0"/>
          <c:showVal val="1"/>
          <c:showCatName val="0"/>
          <c:showSerName val="0"/>
          <c:showPercent val="0"/>
          <c:showBubbleSize val="0"/>
        </c:dLbls>
        <c:marker val="1"/>
        <c:smooth val="0"/>
        <c:axId val="523667840"/>
        <c:axId val="523676696"/>
        <c:extLst>
          <c:ext xmlns:c15="http://schemas.microsoft.com/office/drawing/2012/chart" uri="{02D57815-91ED-43cb-92C2-25804820EDAC}">
            <c15:filteredLineSeries>
              <c15:ser>
                <c:idx val="2"/>
                <c:order val="4"/>
                <c:tx>
                  <c:strRef>
                    <c:extLst>
                      <c:ext uri="{02D57815-91ED-43cb-92C2-25804820EDAC}">
                        <c15:formulaRef>
                          <c15:sqref>'Business As Usual'!$C$57</c15:sqref>
                        </c15:formulaRef>
                      </c:ext>
                    </c:extLst>
                    <c:strCache>
                      <c:ptCount val="1"/>
                      <c:pt idx="0">
                        <c:v>Diesel Emissions </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'Business As Usual'!$D$35:$AI$35</c15:sqref>
                        </c15:formulaRef>
                      </c:ext>
                    </c:extLst>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extLst>
                      <c:ext uri="{02D57815-91ED-43cb-92C2-25804820EDAC}">
                        <c15:formulaRef>
                          <c15:sqref>'Business As Usual'!$D$57:$AI$57</c15:sqref>
                        </c15:formulaRef>
                      </c:ext>
                    </c:extLst>
                    <c:numCache>
                      <c:formatCode>#,##0</c:formatCode>
                      <c:ptCount val="32"/>
                      <c:pt idx="0">
                        <c:v>36931.699773149383</c:v>
                      </c:pt>
                      <c:pt idx="1">
                        <c:v>35941.667590054181</c:v>
                      </c:pt>
                      <c:pt idx="2">
                        <c:v>34878.280652087662</c:v>
                      </c:pt>
                      <c:pt idx="3">
                        <c:v>33760.450099784175</c:v>
                      </c:pt>
                      <c:pt idx="4">
                        <c:v>32575.401912095207</c:v>
                      </c:pt>
                      <c:pt idx="5">
                        <c:v>31451.223255714005</c:v>
                      </c:pt>
                      <c:pt idx="6">
                        <c:v>30309.916465442733</c:v>
                      </c:pt>
                      <c:pt idx="7">
                        <c:v>29321.112690173075</c:v>
                      </c:pt>
                      <c:pt idx="8">
                        <c:v>28376.559197252274</c:v>
                      </c:pt>
                      <c:pt idx="9">
                        <c:v>27473.801814171562</c:v>
                      </c:pt>
                      <c:pt idx="10">
                        <c:v>26618.864592259972</c:v>
                      </c:pt>
                      <c:pt idx="11">
                        <c:v>25810.203721067825</c:v>
                      </c:pt>
                      <c:pt idx="12">
                        <c:v>25049.55864301727</c:v>
                      </c:pt>
                      <c:pt idx="13">
                        <c:v>24336.011238913768</c:v>
                      </c:pt>
                      <c:pt idx="14">
                        <c:v>23667.083961200045</c:v>
                      </c:pt>
                      <c:pt idx="15">
                        <c:v>23031.922327926488</c:v>
                      </c:pt>
                      <c:pt idx="16">
                        <c:v>22438.672375380807</c:v>
                      </c:pt>
                      <c:pt idx="17">
                        <c:v>21882.440352455218</c:v>
                      </c:pt>
                      <c:pt idx="18">
                        <c:v>21360.202193062127</c:v>
                      </c:pt>
                      <c:pt idx="19">
                        <c:v>20865.384563090262</c:v>
                      </c:pt>
                      <c:pt idx="20">
                        <c:v>20393.891392154092</c:v>
                      </c:pt>
                      <c:pt idx="21">
                        <c:v>19939.359822330054</c:v>
                      </c:pt>
                      <c:pt idx="22">
                        <c:v>19375.8724927572</c:v>
                      </c:pt>
                      <c:pt idx="23">
                        <c:v>18848.599820364761</c:v>
                      </c:pt>
                      <c:pt idx="24">
                        <c:v>18312.740643708927</c:v>
                      </c:pt>
                      <c:pt idx="25">
                        <c:v>17769.183330970747</c:v>
                      </c:pt>
                      <c:pt idx="26">
                        <c:v>17218.852731513423</c:v>
                      </c:pt>
                      <c:pt idx="27">
                        <c:v>16662.630882724668</c:v>
                      </c:pt>
                      <c:pt idx="28">
                        <c:v>16101.365610688594</c:v>
                      </c:pt>
                      <c:pt idx="29">
                        <c:v>15535.801392695123</c:v>
                      </c:pt>
                      <c:pt idx="30">
                        <c:v>14966.699244416555</c:v>
                      </c:pt>
                      <c:pt idx="31">
                        <c:v>14394.735711712752</c:v>
                      </c:pt>
                    </c:numCache>
                  </c:numRef>
                </c:val>
                <c:smooth val="0"/>
                <c:extLst>
                  <c:ext xmlns:c16="http://schemas.microsoft.com/office/drawing/2014/chart" uri="{C3380CC4-5D6E-409C-BE32-E72D297353CC}">
                    <c16:uniqueId val="{00000034-60FA-4AB6-8B8A-D004F3776FD5}"/>
                  </c:ext>
                </c:extLst>
              </c15:ser>
            </c15:filteredLineSeries>
          </c:ext>
        </c:extLst>
      </c:lineChart>
      <c:catAx>
        <c:axId val="52366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676696"/>
        <c:crosses val="autoZero"/>
        <c:auto val="1"/>
        <c:lblAlgn val="ctr"/>
        <c:lblOffset val="100"/>
        <c:noMultiLvlLbl val="0"/>
      </c:catAx>
      <c:valAx>
        <c:axId val="523676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GHG Emissions (mtCO</a:t>
                </a:r>
                <a:r>
                  <a:rPr lang="en-US" baseline="-25000"/>
                  <a:t>2</a:t>
                </a:r>
                <a:r>
                  <a:rPr lang="en-US"/>
                  <a:t>e)</a:t>
                </a:r>
              </a:p>
            </c:rich>
          </c:tx>
          <c:layout>
            <c:manualLayout>
              <c:xMode val="edge"/>
              <c:yMode val="edge"/>
              <c:x val="4.7746942707491014E-3"/>
              <c:y val="0.339705854309291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667840"/>
        <c:crosses val="autoZero"/>
        <c:crossBetween val="between"/>
      </c:valAx>
      <c:spPr>
        <a:noFill/>
        <a:ln>
          <a:noFill/>
        </a:ln>
        <a:effectLst/>
      </c:spPr>
    </c:plotArea>
    <c:legend>
      <c:legendPos val="b"/>
      <c:layout>
        <c:manualLayout>
          <c:xMode val="edge"/>
          <c:yMode val="edge"/>
          <c:x val="9.190949701298512E-2"/>
          <c:y val="0.90563610684706064"/>
          <c:w val="0.71427197080189719"/>
          <c:h val="9.43638899414743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Breakdown</a:t>
            </a:r>
            <a:r>
              <a:rPr lang="en-US" baseline="0"/>
              <a:t> by Source</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'Business As Usual'!$C$51</c:f>
              <c:strCache>
                <c:ptCount val="1"/>
                <c:pt idx="0">
                  <c:v>United Power Electricity Emissions</c:v>
                </c:pt>
              </c:strCache>
            </c:strRef>
          </c:tx>
          <c:spPr>
            <a:ln w="28575" cap="rnd">
              <a:solidFill>
                <a:schemeClr val="accent1"/>
              </a:solidFill>
              <a:round/>
            </a:ln>
            <a:effectLst/>
          </c:spPr>
          <c:marker>
            <c:symbol val="none"/>
          </c:marke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Usual'!$D$51:$AI$51</c:f>
              <c:numCache>
                <c:formatCode>#,##0</c:formatCode>
                <c:ptCount val="32"/>
                <c:pt idx="0">
                  <c:v>141021.64079122571</c:v>
                </c:pt>
                <c:pt idx="1">
                  <c:v>133952.48779661171</c:v>
                </c:pt>
                <c:pt idx="2">
                  <c:v>126725.97696249154</c:v>
                </c:pt>
                <c:pt idx="3">
                  <c:v>119344.12231353999</c:v>
                </c:pt>
                <c:pt idx="4">
                  <c:v>111760.86765783331</c:v>
                </c:pt>
                <c:pt idx="5">
                  <c:v>104272.16893238903</c:v>
                </c:pt>
                <c:pt idx="6">
                  <c:v>96625.381615820093</c:v>
                </c:pt>
                <c:pt idx="7">
                  <c:v>89053.720176318602</c:v>
                </c:pt>
                <c:pt idx="8">
                  <c:v>81191.627184294965</c:v>
                </c:pt>
                <c:pt idx="9">
                  <c:v>72977.858276548242</c:v>
                </c:pt>
                <c:pt idx="10">
                  <c:v>64406.950238748963</c:v>
                </c:pt>
                <c:pt idx="11">
                  <c:v>55474.020629633858</c:v>
                </c:pt>
                <c:pt idx="12">
                  <c:v>56490.061017216671</c:v>
                </c:pt>
                <c:pt idx="13">
                  <c:v>57508.64942467615</c:v>
                </c:pt>
                <c:pt idx="14">
                  <c:v>58528.232310027473</c:v>
                </c:pt>
                <c:pt idx="15">
                  <c:v>59528.413411034002</c:v>
                </c:pt>
                <c:pt idx="16">
                  <c:v>60525.688867627156</c:v>
                </c:pt>
                <c:pt idx="17">
                  <c:v>61518.498532762387</c:v>
                </c:pt>
                <c:pt idx="18">
                  <c:v>62505.91279329759</c:v>
                </c:pt>
                <c:pt idx="19">
                  <c:v>63486.529514195281</c:v>
                </c:pt>
                <c:pt idx="20">
                  <c:v>64459.156089579978</c:v>
                </c:pt>
                <c:pt idx="21">
                  <c:v>65422.806490087409</c:v>
                </c:pt>
                <c:pt idx="22">
                  <c:v>66376.825303279446</c:v>
                </c:pt>
                <c:pt idx="23">
                  <c:v>67321.056963079551</c:v>
                </c:pt>
                <c:pt idx="24">
                  <c:v>68255.710241878289</c:v>
                </c:pt>
                <c:pt idx="25">
                  <c:v>69181.389858440758</c:v>
                </c:pt>
                <c:pt idx="26">
                  <c:v>70099.058770821779</c:v>
                </c:pt>
                <c:pt idx="27">
                  <c:v>71009.775593917759</c:v>
                </c:pt>
                <c:pt idx="28">
                  <c:v>71914.743730784277</c:v>
                </c:pt>
                <c:pt idx="29">
                  <c:v>72815.009614973576</c:v>
                </c:pt>
                <c:pt idx="30">
                  <c:v>73711.998025283363</c:v>
                </c:pt>
                <c:pt idx="31">
                  <c:v>74607.073818011413</c:v>
                </c:pt>
              </c:numCache>
            </c:numRef>
          </c:val>
          <c:smooth val="0"/>
          <c:extLst>
            <c:ext xmlns:c16="http://schemas.microsoft.com/office/drawing/2014/chart" uri="{C3380CC4-5D6E-409C-BE32-E72D297353CC}">
              <c16:uniqueId val="{00000000-5ED2-41D5-9886-0BDF72302928}"/>
            </c:ext>
          </c:extLst>
        </c:ser>
        <c:ser>
          <c:idx val="1"/>
          <c:order val="1"/>
          <c:tx>
            <c:strRef>
              <c:f>'Business As Usual'!$C$54</c:f>
              <c:strCache>
                <c:ptCount val="1"/>
                <c:pt idx="0">
                  <c:v>Natural Gas Emissions</c:v>
                </c:pt>
              </c:strCache>
            </c:strRef>
          </c:tx>
          <c:spPr>
            <a:ln w="28575" cap="rnd">
              <a:solidFill>
                <a:schemeClr val="accent2"/>
              </a:solidFill>
              <a:round/>
            </a:ln>
            <a:effectLst/>
          </c:spPr>
          <c:marker>
            <c:symbol val="none"/>
          </c:marke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Usual'!$D$54:$AI$54</c:f>
              <c:numCache>
                <c:formatCode>#,##0</c:formatCode>
                <c:ptCount val="32"/>
                <c:pt idx="0">
                  <c:v>189103</c:v>
                </c:pt>
                <c:pt idx="1">
                  <c:v>191229.60314934785</c:v>
                </c:pt>
                <c:pt idx="2">
                  <c:v>193409.84041531096</c:v>
                </c:pt>
                <c:pt idx="3">
                  <c:v>195658.95289703069</c:v>
                </c:pt>
                <c:pt idx="4">
                  <c:v>197911.94267725898</c:v>
                </c:pt>
                <c:pt idx="5">
                  <c:v>200739.58288907143</c:v>
                </c:pt>
                <c:pt idx="6">
                  <c:v>203773.61985365895</c:v>
                </c:pt>
                <c:pt idx="7">
                  <c:v>207623.11577416467</c:v>
                </c:pt>
                <c:pt idx="8">
                  <c:v>211623.85121888676</c:v>
                </c:pt>
                <c:pt idx="9">
                  <c:v>215655.52754798828</c:v>
                </c:pt>
                <c:pt idx="10">
                  <c:v>219713.83943519951</c:v>
                </c:pt>
                <c:pt idx="11">
                  <c:v>223793.68010801525</c:v>
                </c:pt>
                <c:pt idx="12">
                  <c:v>227892.59731096384</c:v>
                </c:pt>
                <c:pt idx="13">
                  <c:v>232001.7937534324</c:v>
                </c:pt>
                <c:pt idx="14">
                  <c:v>236115.00212553353</c:v>
                </c:pt>
                <c:pt idx="15">
                  <c:v>240149.93968419987</c:v>
                </c:pt>
                <c:pt idx="16">
                  <c:v>244173.15527195123</c:v>
                </c:pt>
                <c:pt idx="17">
                  <c:v>248178.35493272234</c:v>
                </c:pt>
                <c:pt idx="18">
                  <c:v>252161.78841470552</c:v>
                </c:pt>
                <c:pt idx="19">
                  <c:v>256117.79921497402</c:v>
                </c:pt>
                <c:pt idx="20">
                  <c:v>260041.57611460477</c:v>
                </c:pt>
                <c:pt idx="21">
                  <c:v>263929.14126707398</c:v>
                </c:pt>
                <c:pt idx="22">
                  <c:v>267777.85060296219</c:v>
                </c:pt>
                <c:pt idx="23">
                  <c:v>271587.07653652079</c:v>
                </c:pt>
                <c:pt idx="24">
                  <c:v>275357.66129878076</c:v>
                </c:pt>
                <c:pt idx="25">
                  <c:v>279092.04445039295</c:v>
                </c:pt>
                <c:pt idx="26">
                  <c:v>282794.11076344398</c:v>
                </c:pt>
                <c:pt idx="27">
                  <c:v>286468.13090951677</c:v>
                </c:pt>
                <c:pt idx="28">
                  <c:v>290118.9596655934</c:v>
                </c:pt>
                <c:pt idx="29">
                  <c:v>293750.81856119313</c:v>
                </c:pt>
                <c:pt idx="30">
                  <c:v>297369.45544885786</c:v>
                </c:pt>
                <c:pt idx="31">
                  <c:v>300980.37644136301</c:v>
                </c:pt>
              </c:numCache>
            </c:numRef>
          </c:val>
          <c:smooth val="0"/>
          <c:extLst>
            <c:ext xmlns:c16="http://schemas.microsoft.com/office/drawing/2014/chart" uri="{C3380CC4-5D6E-409C-BE32-E72D297353CC}">
              <c16:uniqueId val="{00000001-5ED2-41D5-9886-0BDF72302928}"/>
            </c:ext>
          </c:extLst>
        </c:ser>
        <c:ser>
          <c:idx val="2"/>
          <c:order val="2"/>
          <c:tx>
            <c:strRef>
              <c:f>'Business As Usual'!$C$59</c:f>
              <c:strCache>
                <c:ptCount val="1"/>
                <c:pt idx="0">
                  <c:v>Total Gasoline, Diesel, and Ethanol Emissions</c:v>
                </c:pt>
              </c:strCache>
            </c:strRef>
          </c:tx>
          <c:spPr>
            <a:ln w="28575" cap="rnd">
              <a:solidFill>
                <a:schemeClr val="accent3"/>
              </a:solidFill>
              <a:round/>
            </a:ln>
            <a:effectLst/>
          </c:spPr>
          <c:marker>
            <c:symbol val="none"/>
          </c:marke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Usual'!$D$59:$AI$59</c:f>
              <c:numCache>
                <c:formatCode>#,##0</c:formatCode>
                <c:ptCount val="32"/>
                <c:pt idx="0">
                  <c:v>270697.05208639085</c:v>
                </c:pt>
                <c:pt idx="1">
                  <c:v>266097.32421294105</c:v>
                </c:pt>
                <c:pt idx="2">
                  <c:v>261828.69132952404</c:v>
                </c:pt>
                <c:pt idx="3">
                  <c:v>257212.36020328174</c:v>
                </c:pt>
                <c:pt idx="4">
                  <c:v>252125.38386226192</c:v>
                </c:pt>
                <c:pt idx="5">
                  <c:v>247543.30309104989</c:v>
                </c:pt>
                <c:pt idx="6">
                  <c:v>242841.91420818522</c:v>
                </c:pt>
                <c:pt idx="7">
                  <c:v>239383.53577304835</c:v>
                </c:pt>
                <c:pt idx="8">
                  <c:v>236301.30332212095</c:v>
                </c:pt>
                <c:pt idx="9">
                  <c:v>233558.34012091748</c:v>
                </c:pt>
                <c:pt idx="10">
                  <c:v>231186.42061667956</c:v>
                </c:pt>
                <c:pt idx="11">
                  <c:v>229154.97654392131</c:v>
                </c:pt>
                <c:pt idx="12">
                  <c:v>227466.18416036159</c:v>
                </c:pt>
                <c:pt idx="13">
                  <c:v>226104.78647036315</c:v>
                </c:pt>
                <c:pt idx="14">
                  <c:v>225047.63644236239</c:v>
                </c:pt>
                <c:pt idx="15">
                  <c:v>224196.6573077403</c:v>
                </c:pt>
                <c:pt idx="16">
                  <c:v>223641.56349097055</c:v>
                </c:pt>
                <c:pt idx="17">
                  <c:v>223355.38564198412</c:v>
                </c:pt>
                <c:pt idx="18">
                  <c:v>223333.5828200696</c:v>
                </c:pt>
                <c:pt idx="19">
                  <c:v>223537.77487897669</c:v>
                </c:pt>
                <c:pt idx="20">
                  <c:v>223954.90244510895</c:v>
                </c:pt>
                <c:pt idx="21">
                  <c:v>224546.40667193197</c:v>
                </c:pt>
                <c:pt idx="22">
                  <c:v>224204.26297235384</c:v>
                </c:pt>
                <c:pt idx="23">
                  <c:v>223861.77819643923</c:v>
                </c:pt>
                <c:pt idx="24">
                  <c:v>223441.4334973433</c:v>
                </c:pt>
                <c:pt idx="25">
                  <c:v>222948.06512892197</c:v>
                </c:pt>
                <c:pt idx="26">
                  <c:v>222387.45072310671</c:v>
                </c:pt>
                <c:pt idx="27">
                  <c:v>221765.40671675545</c:v>
                </c:pt>
                <c:pt idx="28">
                  <c:v>221087.92459078738</c:v>
                </c:pt>
                <c:pt idx="29">
                  <c:v>220360.23186255872</c:v>
                </c:pt>
                <c:pt idx="30">
                  <c:v>219588.43364699726</c:v>
                </c:pt>
                <c:pt idx="31">
                  <c:v>218778.14769825237</c:v>
                </c:pt>
              </c:numCache>
            </c:numRef>
          </c:val>
          <c:smooth val="0"/>
          <c:extLst>
            <c:ext xmlns:c16="http://schemas.microsoft.com/office/drawing/2014/chart" uri="{C3380CC4-5D6E-409C-BE32-E72D297353CC}">
              <c16:uniqueId val="{00000002-5ED2-41D5-9886-0BDF72302928}"/>
            </c:ext>
          </c:extLst>
        </c:ser>
        <c:ser>
          <c:idx val="4"/>
          <c:order val="3"/>
          <c:tx>
            <c:strRef>
              <c:f>'Business As Usual'!$C$62</c:f>
              <c:strCache>
                <c:ptCount val="1"/>
                <c:pt idx="0">
                  <c:v>Rail Emissions</c:v>
                </c:pt>
              </c:strCache>
            </c:strRef>
          </c:tx>
          <c:spPr>
            <a:ln w="28575" cap="rnd">
              <a:solidFill>
                <a:schemeClr val="accent5"/>
              </a:solidFill>
              <a:round/>
            </a:ln>
            <a:effectLst/>
          </c:spPr>
          <c:marker>
            <c:symbol val="none"/>
          </c:marke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Usual'!$D$62:$AI$62</c:f>
              <c:numCache>
                <c:formatCode>#,##0</c:formatCode>
                <c:ptCount val="32"/>
                <c:pt idx="0">
                  <c:v>405</c:v>
                </c:pt>
                <c:pt idx="1">
                  <c:v>409.55452465315659</c:v>
                </c:pt>
                <c:pt idx="2">
                  <c:v>414.22391695637259</c:v>
                </c:pt>
                <c:pt idx="3">
                  <c:v>419.04081861894002</c:v>
                </c:pt>
                <c:pt idx="4">
                  <c:v>423.86602425286685</c:v>
                </c:pt>
                <c:pt idx="5">
                  <c:v>429.92195295724514</c:v>
                </c:pt>
                <c:pt idx="6">
                  <c:v>436.41991951863201</c:v>
                </c:pt>
                <c:pt idx="7">
                  <c:v>444.66434635376851</c:v>
                </c:pt>
                <c:pt idx="8">
                  <c:v>453.23268136226892</c:v>
                </c:pt>
                <c:pt idx="9">
                  <c:v>461.86728215276992</c:v>
                </c:pt>
                <c:pt idx="10">
                  <c:v>470.55892805114564</c:v>
                </c:pt>
                <c:pt idx="11">
                  <c:v>479.29668193389938</c:v>
                </c:pt>
                <c:pt idx="12">
                  <c:v>488.07529183006278</c:v>
                </c:pt>
                <c:pt idx="13">
                  <c:v>496.87591667049242</c:v>
                </c:pt>
                <c:pt idx="14">
                  <c:v>505.6851338204105</c:v>
                </c:pt>
                <c:pt idx="15">
                  <c:v>514.32671915358799</c:v>
                </c:pt>
                <c:pt idx="16">
                  <c:v>522.94319965912882</c:v>
                </c:pt>
                <c:pt idx="17">
                  <c:v>531.5210956344032</c:v>
                </c:pt>
                <c:pt idx="18">
                  <c:v>540.05237520269759</c:v>
                </c:pt>
                <c:pt idx="19">
                  <c:v>548.52492388838073</c:v>
                </c:pt>
                <c:pt idx="20">
                  <c:v>556.92843755210083</c:v>
                </c:pt>
                <c:pt idx="21">
                  <c:v>565.25439687982191</c:v>
                </c:pt>
                <c:pt idx="22">
                  <c:v>573.4971390945658</c:v>
                </c:pt>
                <c:pt idx="23">
                  <c:v>581.65532010222421</c:v>
                </c:pt>
                <c:pt idx="24">
                  <c:v>589.73074370055565</c:v>
                </c:pt>
                <c:pt idx="25">
                  <c:v>597.72863467215814</c:v>
                </c:pt>
                <c:pt idx="26">
                  <c:v>605.65731299447805</c:v>
                </c:pt>
                <c:pt idx="27">
                  <c:v>613.52592512204592</c:v>
                </c:pt>
                <c:pt idx="28">
                  <c:v>621.34486848207212</c:v>
                </c:pt>
                <c:pt idx="29">
                  <c:v>629.12318428202184</c:v>
                </c:pt>
                <c:pt idx="30">
                  <c:v>636.87318264008172</c:v>
                </c:pt>
                <c:pt idx="31">
                  <c:v>644.6066559428034</c:v>
                </c:pt>
              </c:numCache>
            </c:numRef>
          </c:val>
          <c:smooth val="0"/>
          <c:extLst>
            <c:ext xmlns:c16="http://schemas.microsoft.com/office/drawing/2014/chart" uri="{C3380CC4-5D6E-409C-BE32-E72D297353CC}">
              <c16:uniqueId val="{00000003-5ED2-41D5-9886-0BDF72302928}"/>
            </c:ext>
          </c:extLst>
        </c:ser>
        <c:ser>
          <c:idx val="3"/>
          <c:order val="4"/>
          <c:tx>
            <c:strRef>
              <c:f>'Business As Usual'!$C$65</c:f>
              <c:strCache>
                <c:ptCount val="1"/>
                <c:pt idx="0">
                  <c:v>Wastewater Emissions</c:v>
                </c:pt>
              </c:strCache>
            </c:strRef>
          </c:tx>
          <c:spPr>
            <a:ln w="28575" cap="rnd">
              <a:solidFill>
                <a:schemeClr val="accent4"/>
              </a:solidFill>
              <a:round/>
            </a:ln>
            <a:effectLst/>
          </c:spPr>
          <c:marker>
            <c:symbol val="none"/>
          </c:marke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Usual'!$D$65:$AI$65</c:f>
              <c:numCache>
                <c:formatCode>#,##0</c:formatCode>
                <c:ptCount val="32"/>
                <c:pt idx="0">
                  <c:v>5523</c:v>
                </c:pt>
                <c:pt idx="1">
                  <c:v>5570.3001285181363</c:v>
                </c:pt>
                <c:pt idx="2">
                  <c:v>5622.9276329675295</c:v>
                </c:pt>
                <c:pt idx="3">
                  <c:v>5677.2718179168178</c:v>
                </c:pt>
                <c:pt idx="4">
                  <c:v>5733.5686226816824</c:v>
                </c:pt>
                <c:pt idx="5">
                  <c:v>5794.4605521726198</c:v>
                </c:pt>
                <c:pt idx="6">
                  <c:v>5860.3226879906106</c:v>
                </c:pt>
                <c:pt idx="7">
                  <c:v>5932.5745217997182</c:v>
                </c:pt>
                <c:pt idx="8">
                  <c:v>6007.6642894289253</c:v>
                </c:pt>
                <c:pt idx="9">
                  <c:v>6081.4324802986121</c:v>
                </c:pt>
                <c:pt idx="10">
                  <c:v>6153.1970984339978</c:v>
                </c:pt>
                <c:pt idx="11">
                  <c:v>6223.1415125218764</c:v>
                </c:pt>
                <c:pt idx="12">
                  <c:v>6291.3940930774934</c:v>
                </c:pt>
                <c:pt idx="13">
                  <c:v>6357.4918702148234</c:v>
                </c:pt>
                <c:pt idx="14">
                  <c:v>6421.3665720561585</c:v>
                </c:pt>
                <c:pt idx="15">
                  <c:v>6482.6180368779906</c:v>
                </c:pt>
                <c:pt idx="16">
                  <c:v>6542.0063046741252</c:v>
                </c:pt>
                <c:pt idx="17">
                  <c:v>6599.4283900346682</c:v>
                </c:pt>
                <c:pt idx="18">
                  <c:v>6654.7658861007831</c:v>
                </c:pt>
                <c:pt idx="19">
                  <c:v>6708.0642497841036</c:v>
                </c:pt>
                <c:pt idx="20">
                  <c:v>6759.0555212151585</c:v>
                </c:pt>
                <c:pt idx="21">
                  <c:v>6806.4718947410365</c:v>
                </c:pt>
                <c:pt idx="22">
                  <c:v>6850.311616366118</c:v>
                </c:pt>
                <c:pt idx="23">
                  <c:v>6889.9518820289204</c:v>
                </c:pt>
                <c:pt idx="24">
                  <c:v>6925.7812782399105</c:v>
                </c:pt>
                <c:pt idx="25">
                  <c:v>6957.796501699082</c:v>
                </c:pt>
                <c:pt idx="26">
                  <c:v>6988.1108934506992</c:v>
                </c:pt>
                <c:pt idx="27">
                  <c:v>7016.9458570438283</c:v>
                </c:pt>
                <c:pt idx="28">
                  <c:v>7042.6860939717671</c:v>
                </c:pt>
                <c:pt idx="29">
                  <c:v>7066.9984832278005</c:v>
                </c:pt>
                <c:pt idx="30">
                  <c:v>7090.522686047545</c:v>
                </c:pt>
                <c:pt idx="31">
                  <c:v>7111.3972767460455</c:v>
                </c:pt>
              </c:numCache>
            </c:numRef>
          </c:val>
          <c:smooth val="0"/>
          <c:extLst>
            <c:ext xmlns:c16="http://schemas.microsoft.com/office/drawing/2014/chart" uri="{C3380CC4-5D6E-409C-BE32-E72D297353CC}">
              <c16:uniqueId val="{00000004-5ED2-41D5-9886-0BDF72302928}"/>
            </c:ext>
          </c:extLst>
        </c:ser>
        <c:ser>
          <c:idx val="5"/>
          <c:order val="5"/>
          <c:tx>
            <c:strRef>
              <c:f>'Business As Usual'!$C$63</c:f>
              <c:strCache>
                <c:ptCount val="1"/>
                <c:pt idx="0">
                  <c:v>Waste Emissions</c:v>
                </c:pt>
              </c:strCache>
            </c:strRef>
          </c:tx>
          <c:spPr>
            <a:ln w="28575" cap="rnd">
              <a:solidFill>
                <a:schemeClr val="accent6"/>
              </a:solidFill>
              <a:round/>
            </a:ln>
            <a:effectLst/>
          </c:spPr>
          <c:marker>
            <c:symbol val="none"/>
          </c:marke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Usual'!$D$63:$AI$63</c:f>
              <c:numCache>
                <c:formatCode>#,##0</c:formatCode>
                <c:ptCount val="32"/>
                <c:pt idx="0">
                  <c:v>66758</c:v>
                </c:pt>
                <c:pt idx="1">
                  <c:v>67329.72949114861</c:v>
                </c:pt>
                <c:pt idx="2">
                  <c:v>67965.852421083895</c:v>
                </c:pt>
                <c:pt idx="3">
                  <c:v>68622.725334146468</c:v>
                </c:pt>
                <c:pt idx="4">
                  <c:v>69303.200092881365</c:v>
                </c:pt>
                <c:pt idx="5">
                  <c:v>70039.21737134525</c:v>
                </c:pt>
                <c:pt idx="6">
                  <c:v>70835.310882650228</c:v>
                </c:pt>
                <c:pt idx="7">
                  <c:v>71708.638407804756</c:v>
                </c:pt>
                <c:pt idx="8">
                  <c:v>72616.268809287751</c:v>
                </c:pt>
                <c:pt idx="9">
                  <c:v>73507.924953788664</c:v>
                </c:pt>
                <c:pt idx="10">
                  <c:v>74375.363370859472</c:v>
                </c:pt>
                <c:pt idx="11">
                  <c:v>75220.800487585628</c:v>
                </c:pt>
                <c:pt idx="12">
                  <c:v>76045.787953226027</c:v>
                </c:pt>
                <c:pt idx="13">
                  <c:v>76844.729725113386</c:v>
                </c:pt>
                <c:pt idx="14">
                  <c:v>77616.800582532145</c:v>
                </c:pt>
                <c:pt idx="15">
                  <c:v>78357.163662122199</c:v>
                </c:pt>
                <c:pt idx="16">
                  <c:v>79075.00577357148</c:v>
                </c:pt>
                <c:pt idx="17">
                  <c:v>79769.082104279267</c:v>
                </c:pt>
                <c:pt idx="18">
                  <c:v>80437.961438405953</c:v>
                </c:pt>
                <c:pt idx="19">
                  <c:v>81082.193225979936</c:v>
                </c:pt>
                <c:pt idx="20">
                  <c:v>17522.107803711493</c:v>
                </c:pt>
                <c:pt idx="21">
                  <c:v>17784.059514331402</c:v>
                </c:pt>
                <c:pt idx="22">
                  <c:v>18043.393044362245</c:v>
                </c:pt>
                <c:pt idx="23">
                  <c:v>18300.066105854115</c:v>
                </c:pt>
                <c:pt idx="24">
                  <c:v>18554.135449974048</c:v>
                </c:pt>
                <c:pt idx="25">
                  <c:v>18805.765459069495</c:v>
                </c:pt>
                <c:pt idx="26">
                  <c:v>19055.217896648861</c:v>
                </c:pt>
                <c:pt idx="27">
                  <c:v>19302.780528880114</c:v>
                </c:pt>
                <c:pt idx="28">
                  <c:v>19548.7804800905</c:v>
                </c:pt>
                <c:pt idx="29">
                  <c:v>19793.502205160035</c:v>
                </c:pt>
                <c:pt idx="30">
                  <c:v>20037.333005586363</c:v>
                </c:pt>
                <c:pt idx="31">
                  <c:v>20280.643893970901</c:v>
                </c:pt>
              </c:numCache>
            </c:numRef>
          </c:val>
          <c:smooth val="0"/>
          <c:extLst>
            <c:ext xmlns:c16="http://schemas.microsoft.com/office/drawing/2014/chart" uri="{C3380CC4-5D6E-409C-BE32-E72D297353CC}">
              <c16:uniqueId val="{00000005-5ED2-41D5-9886-0BDF72302928}"/>
            </c:ext>
          </c:extLst>
        </c:ser>
        <c:ser>
          <c:idx val="6"/>
          <c:order val="6"/>
          <c:tx>
            <c:strRef>
              <c:f>'Business As Usual'!$C$61</c:f>
              <c:strCache>
                <c:ptCount val="1"/>
                <c:pt idx="0">
                  <c:v>Transit Emissions</c:v>
                </c:pt>
              </c:strCache>
            </c:strRef>
          </c:tx>
          <c:spPr>
            <a:ln w="28575" cap="rnd">
              <a:solidFill>
                <a:schemeClr val="accent1">
                  <a:lumMod val="60000"/>
                </a:schemeClr>
              </a:solidFill>
              <a:round/>
            </a:ln>
            <a:effectLst/>
          </c:spPr>
          <c:marker>
            <c:symbol val="none"/>
          </c:marke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Usual'!$D$61:$AI$61</c:f>
              <c:numCache>
                <c:formatCode>#,##0</c:formatCode>
                <c:ptCount val="32"/>
                <c:pt idx="0">
                  <c:v>2114</c:v>
                </c:pt>
                <c:pt idx="1">
                  <c:v>2137.773494115489</c:v>
                </c:pt>
                <c:pt idx="2">
                  <c:v>2162.1465690019054</c:v>
                </c:pt>
                <c:pt idx="3">
                  <c:v>2187.2896063220719</c:v>
                </c:pt>
                <c:pt idx="4">
                  <c:v>2212.4759883223714</c:v>
                </c:pt>
                <c:pt idx="5">
                  <c:v>2244.0864408681882</c:v>
                </c:pt>
                <c:pt idx="6">
                  <c:v>2278.0042218824397</c:v>
                </c:pt>
                <c:pt idx="7">
                  <c:v>2321.0380943009054</c:v>
                </c:pt>
                <c:pt idx="8">
                  <c:v>2365.7626874070038</c:v>
                </c:pt>
                <c:pt idx="9">
                  <c:v>2410.8331715332238</c:v>
                </c:pt>
                <c:pt idx="10">
                  <c:v>2456.2014170373382</c:v>
                </c:pt>
                <c:pt idx="11">
                  <c:v>2501.8103348352183</c:v>
                </c:pt>
                <c:pt idx="12">
                  <c:v>2547.6325109351924</c:v>
                </c:pt>
                <c:pt idx="13">
                  <c:v>2593.5695996084473</c:v>
                </c:pt>
                <c:pt idx="14">
                  <c:v>2639.5515380156744</c:v>
                </c:pt>
                <c:pt idx="15">
                  <c:v>2684.658479730087</c:v>
                </c:pt>
                <c:pt idx="16">
                  <c:v>2729.6343804429598</c:v>
                </c:pt>
                <c:pt idx="17">
                  <c:v>2774.4088794348854</c:v>
                </c:pt>
                <c:pt idx="18">
                  <c:v>2818.9400522925998</c:v>
                </c:pt>
                <c:pt idx="19">
                  <c:v>2863.1646644445359</c:v>
                </c:pt>
                <c:pt idx="20">
                  <c:v>2907.0289308275092</c:v>
                </c:pt>
                <c:pt idx="21">
                  <c:v>2950.4883827257863</c:v>
                </c:pt>
                <c:pt idx="22">
                  <c:v>2993.5134618417583</c:v>
                </c:pt>
                <c:pt idx="23">
                  <c:v>3036.0971523360545</c:v>
                </c:pt>
                <c:pt idx="24">
                  <c:v>3078.2488695875923</c:v>
                </c:pt>
                <c:pt idx="25">
                  <c:v>3119.9958856714629</c:v>
                </c:pt>
                <c:pt idx="26">
                  <c:v>3161.3816288156218</c:v>
                </c:pt>
                <c:pt idx="27">
                  <c:v>3202.4538412543343</c:v>
                </c:pt>
                <c:pt idx="28">
                  <c:v>3243.2667949903725</c:v>
                </c:pt>
                <c:pt idx="29">
                  <c:v>3283.8676828943076</c:v>
                </c:pt>
                <c:pt idx="30">
                  <c:v>3324.3207607435388</c:v>
                </c:pt>
                <c:pt idx="31">
                  <c:v>3364.687581884165</c:v>
                </c:pt>
              </c:numCache>
            </c:numRef>
          </c:val>
          <c:smooth val="0"/>
          <c:extLst>
            <c:ext xmlns:c16="http://schemas.microsoft.com/office/drawing/2014/chart" uri="{C3380CC4-5D6E-409C-BE32-E72D297353CC}">
              <c16:uniqueId val="{00000006-5ED2-41D5-9886-0BDF72302928}"/>
            </c:ext>
          </c:extLst>
        </c:ser>
        <c:ser>
          <c:idx val="7"/>
          <c:order val="7"/>
          <c:tx>
            <c:strRef>
              <c:f>'Business As Usual'!$C$52</c:f>
              <c:strCache>
                <c:ptCount val="1"/>
                <c:pt idx="0">
                  <c:v>Xcel Energy Electricity Emissions</c:v>
                </c:pt>
              </c:strCache>
            </c:strRef>
          </c:tx>
          <c:spPr>
            <a:ln w="28575" cap="rnd">
              <a:solidFill>
                <a:schemeClr val="accent2">
                  <a:lumMod val="60000"/>
                </a:schemeClr>
              </a:solidFill>
              <a:round/>
            </a:ln>
            <a:effectLst/>
          </c:spPr>
          <c:marker>
            <c:symbol val="none"/>
          </c:marke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Usual'!$D$52:$AI$52</c:f>
              <c:numCache>
                <c:formatCode>#,##0</c:formatCode>
                <c:ptCount val="32"/>
                <c:pt idx="0">
                  <c:v>150962.30049300758</c:v>
                </c:pt>
                <c:pt idx="1">
                  <c:v>145630.00891821575</c:v>
                </c:pt>
                <c:pt idx="2">
                  <c:v>144548.87585739867</c:v>
                </c:pt>
                <c:pt idx="3">
                  <c:v>135652.17859605269</c:v>
                </c:pt>
                <c:pt idx="4">
                  <c:v>126514.7790573761</c:v>
                </c:pt>
                <c:pt idx="5">
                  <c:v>117470.05703068011</c:v>
                </c:pt>
                <c:pt idx="6">
                  <c:v>108229.22444257002</c:v>
                </c:pt>
                <c:pt idx="7">
                  <c:v>99049.36815570305</c:v>
                </c:pt>
                <c:pt idx="8">
                  <c:v>89517.267336715158</c:v>
                </c:pt>
                <c:pt idx="9">
                  <c:v>79564.010261032032</c:v>
                </c:pt>
                <c:pt idx="10">
                  <c:v>69183.223140068381</c:v>
                </c:pt>
                <c:pt idx="11">
                  <c:v>58369.254161475095</c:v>
                </c:pt>
                <c:pt idx="12">
                  <c:v>56464.799074544913</c:v>
                </c:pt>
                <c:pt idx="13">
                  <c:v>54455.792091797921</c:v>
                </c:pt>
                <c:pt idx="14">
                  <c:v>52340.441548688927</c:v>
                </c:pt>
                <c:pt idx="15">
                  <c:v>50101.424117005459</c:v>
                </c:pt>
                <c:pt idx="16">
                  <c:v>47754.819077898363</c:v>
                </c:pt>
                <c:pt idx="17">
                  <c:v>45299.936438926146</c:v>
                </c:pt>
                <c:pt idx="18">
                  <c:v>42736.8458113815</c:v>
                </c:pt>
                <c:pt idx="19">
                  <c:v>40065.514336079759</c:v>
                </c:pt>
                <c:pt idx="20">
                  <c:v>37286.325578038981</c:v>
                </c:pt>
                <c:pt idx="21">
                  <c:v>34400.022827971196</c:v>
                </c:pt>
                <c:pt idx="22">
                  <c:v>31407.713425977745</c:v>
                </c:pt>
                <c:pt idx="23">
                  <c:v>28310.852913373194</c:v>
                </c:pt>
                <c:pt idx="24">
                  <c:v>25111.063625205774</c:v>
                </c:pt>
                <c:pt idx="25">
                  <c:v>21810.04876470313</c:v>
                </c:pt>
                <c:pt idx="26">
                  <c:v>18409.478291491083</c:v>
                </c:pt>
                <c:pt idx="27">
                  <c:v>14910.839498780351</c:v>
                </c:pt>
                <c:pt idx="28">
                  <c:v>11315.419568008941</c:v>
                </c:pt>
                <c:pt idx="29">
                  <c:v>7624.2358659342099</c:v>
                </c:pt>
                <c:pt idx="30">
                  <c:v>3838.1051306990644</c:v>
                </c:pt>
                <c:pt idx="31">
                  <c:v>0</c:v>
                </c:pt>
              </c:numCache>
            </c:numRef>
          </c:val>
          <c:smooth val="0"/>
          <c:extLst>
            <c:ext xmlns:c16="http://schemas.microsoft.com/office/drawing/2014/chart" uri="{C3380CC4-5D6E-409C-BE32-E72D297353CC}">
              <c16:uniqueId val="{00000001-741F-447B-A9DB-23142F3058B2}"/>
            </c:ext>
          </c:extLst>
        </c:ser>
        <c:ser>
          <c:idx val="8"/>
          <c:order val="8"/>
          <c:tx>
            <c:strRef>
              <c:f>'Business As Usual'!$C$66</c:f>
              <c:strCache>
                <c:ptCount val="1"/>
                <c:pt idx="0">
                  <c:v>Industrial Processes and Product Use Emissions and Refrigerants</c:v>
                </c:pt>
              </c:strCache>
            </c:strRef>
          </c:tx>
          <c:spPr>
            <a:ln w="28575" cap="rnd">
              <a:solidFill>
                <a:schemeClr val="accent3">
                  <a:lumMod val="60000"/>
                </a:schemeClr>
              </a:solidFill>
              <a:round/>
            </a:ln>
            <a:effectLst/>
          </c:spPr>
          <c:marker>
            <c:symbol val="none"/>
          </c:marke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Usual'!$D$66:$AI$66</c:f>
              <c:numCache>
                <c:formatCode>#,##0</c:formatCode>
                <c:ptCount val="32"/>
                <c:pt idx="0">
                  <c:v>1103792</c:v>
                </c:pt>
                <c:pt idx="1">
                  <c:v>1113245.1058224319</c:v>
                </c:pt>
                <c:pt idx="2">
                  <c:v>1123762.9074503887</c:v>
                </c:pt>
                <c:pt idx="3">
                  <c:v>1134623.7940325986</c:v>
                </c:pt>
                <c:pt idx="4">
                  <c:v>1145874.9189149125</c:v>
                </c:pt>
                <c:pt idx="5">
                  <c:v>1158044.3964880903</c:v>
                </c:pt>
                <c:pt idx="6">
                  <c:v>1171207.1881989017</c:v>
                </c:pt>
                <c:pt idx="7">
                  <c:v>1185646.9847123586</c:v>
                </c:pt>
                <c:pt idx="8">
                  <c:v>1200653.9528077738</c:v>
                </c:pt>
                <c:pt idx="9">
                  <c:v>1215396.7988943995</c:v>
                </c:pt>
                <c:pt idx="10">
                  <c:v>1229739.2235514508</c:v>
                </c:pt>
                <c:pt idx="11">
                  <c:v>1243717.8736899423</c:v>
                </c:pt>
                <c:pt idx="12">
                  <c:v>1257358.4046326629</c:v>
                </c:pt>
                <c:pt idx="13">
                  <c:v>1270568.2901336527</c:v>
                </c:pt>
                <c:pt idx="14">
                  <c:v>1283333.8858053621</c:v>
                </c:pt>
                <c:pt idx="15">
                  <c:v>1295575.2178456699</c:v>
                </c:pt>
                <c:pt idx="16">
                  <c:v>1307444.1830615366</c:v>
                </c:pt>
                <c:pt idx="17">
                  <c:v>1318920.1994374709</c:v>
                </c:pt>
                <c:pt idx="18">
                  <c:v>1329979.6029243092</c:v>
                </c:pt>
                <c:pt idx="19">
                  <c:v>1340631.4782541553</c:v>
                </c:pt>
                <c:pt idx="20">
                  <c:v>1350822.2726549206</c:v>
                </c:pt>
                <c:pt idx="21">
                  <c:v>1360298.6104725697</c:v>
                </c:pt>
                <c:pt idx="22">
                  <c:v>1369060.1411645834</c:v>
                </c:pt>
                <c:pt idx="23">
                  <c:v>1376982.3950332194</c:v>
                </c:pt>
                <c:pt idx="24">
                  <c:v>1384143.0325314126</c:v>
                </c:pt>
                <c:pt idx="25">
                  <c:v>1390541.3934824257</c:v>
                </c:pt>
                <c:pt idx="26">
                  <c:v>1396599.8369190183</c:v>
                </c:pt>
                <c:pt idx="27">
                  <c:v>1402362.6111602618</c:v>
                </c:pt>
                <c:pt idx="28">
                  <c:v>1407506.8928186293</c:v>
                </c:pt>
                <c:pt idx="29">
                  <c:v>1412365.8138328779</c:v>
                </c:pt>
                <c:pt idx="30">
                  <c:v>1417067.2128694181</c:v>
                </c:pt>
                <c:pt idx="31">
                  <c:v>1421239.0771128146</c:v>
                </c:pt>
              </c:numCache>
            </c:numRef>
          </c:val>
          <c:smooth val="0"/>
          <c:extLst>
            <c:ext xmlns:c16="http://schemas.microsoft.com/office/drawing/2014/chart" uri="{C3380CC4-5D6E-409C-BE32-E72D297353CC}">
              <c16:uniqueId val="{00000001-6917-46E2-877D-750D68610CC0}"/>
            </c:ext>
          </c:extLst>
        </c:ser>
        <c:ser>
          <c:idx val="9"/>
          <c:order val="9"/>
          <c:tx>
            <c:strRef>
              <c:f>'Business As Usual'!$C$60</c:f>
              <c:strCache>
                <c:ptCount val="1"/>
                <c:pt idx="0">
                  <c:v>Electric Vehicle Emissions</c:v>
                </c:pt>
              </c:strCache>
            </c:strRef>
          </c:tx>
          <c:spPr>
            <a:ln w="28575" cap="rnd">
              <a:solidFill>
                <a:schemeClr val="accent4">
                  <a:lumMod val="60000"/>
                </a:schemeClr>
              </a:solidFill>
              <a:round/>
            </a:ln>
            <a:effectLst/>
          </c:spPr>
          <c:marker>
            <c:symbol val="none"/>
          </c:marker>
          <c:cat>
            <c:numRef>
              <c:f>'Business As Usual'!$D$35:$AI$35</c:f>
              <c:numCache>
                <c:formatCode>General</c:formatCode>
                <c:ptCount val="32"/>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numCache>
            </c:numRef>
          </c:cat>
          <c:val>
            <c:numRef>
              <c:f>'Business As Usual'!$D$60:$AI$60</c:f>
              <c:numCache>
                <c:formatCode>#,##0</c:formatCode>
                <c:ptCount val="32"/>
                <c:pt idx="0">
                  <c:v>2186.1885631079704</c:v>
                </c:pt>
                <c:pt idx="1">
                  <c:v>1421.7123089348067</c:v>
                </c:pt>
                <c:pt idx="2">
                  <c:v>1777.4817309878836</c:v>
                </c:pt>
                <c:pt idx="3">
                  <c:v>1999.4887717095842</c:v>
                </c:pt>
                <c:pt idx="4">
                  <c:v>2162.352663832532</c:v>
                </c:pt>
                <c:pt idx="5">
                  <c:v>2273.3264764694868</c:v>
                </c:pt>
                <c:pt idx="6">
                  <c:v>2329.2978171047844</c:v>
                </c:pt>
                <c:pt idx="7">
                  <c:v>2337.5855790919759</c:v>
                </c:pt>
                <c:pt idx="8">
                  <c:v>2290.5080235641585</c:v>
                </c:pt>
                <c:pt idx="9">
                  <c:v>2186.6790276127863</c:v>
                </c:pt>
                <c:pt idx="10">
                  <c:v>2026.2393315109243</c:v>
                </c:pt>
                <c:pt idx="11">
                  <c:v>1809.5387985015834</c:v>
                </c:pt>
                <c:pt idx="12">
                  <c:v>1865.6663097602907</c:v>
                </c:pt>
                <c:pt idx="13">
                  <c:v>1908.5127703755302</c:v>
                </c:pt>
                <c:pt idx="14">
                  <c:v>1937.5868651301878</c:v>
                </c:pt>
                <c:pt idx="15">
                  <c:v>1951.7995700716244</c:v>
                </c:pt>
                <c:pt idx="16">
                  <c:v>1951.3163946980699</c:v>
                </c:pt>
                <c:pt idx="17">
                  <c:v>1935.7316973819427</c:v>
                </c:pt>
                <c:pt idx="18">
                  <c:v>1904.6904859205706</c:v>
                </c:pt>
                <c:pt idx="19">
                  <c:v>1857.8555226442459</c:v>
                </c:pt>
                <c:pt idx="20">
                  <c:v>1794.9313737846846</c:v>
                </c:pt>
                <c:pt idx="21">
                  <c:v>1715.6652049364668</c:v>
                </c:pt>
                <c:pt idx="22">
                  <c:v>1623.1409181930139</c:v>
                </c:pt>
                <c:pt idx="23">
                  <c:v>1513.7620505314537</c:v>
                </c:pt>
                <c:pt idx="24">
                  <c:v>1387.2065378812888</c:v>
                </c:pt>
                <c:pt idx="25">
                  <c:v>1243.1784337264257</c:v>
                </c:pt>
                <c:pt idx="26">
                  <c:v>1081.4016487852632</c:v>
                </c:pt>
                <c:pt idx="27">
                  <c:v>901.61035481272302</c:v>
                </c:pt>
                <c:pt idx="28">
                  <c:v>703.54606997788812</c:v>
                </c:pt>
                <c:pt idx="29">
                  <c:v>486.95127353342298</c:v>
                </c:pt>
                <c:pt idx="30">
                  <c:v>251.57147110985991</c:v>
                </c:pt>
                <c:pt idx="31">
                  <c:v>0</c:v>
                </c:pt>
              </c:numCache>
            </c:numRef>
          </c:val>
          <c:smooth val="0"/>
          <c:extLst>
            <c:ext xmlns:c16="http://schemas.microsoft.com/office/drawing/2014/chart" uri="{C3380CC4-5D6E-409C-BE32-E72D297353CC}">
              <c16:uniqueId val="{00000002-6917-46E2-877D-750D68610CC0}"/>
            </c:ext>
          </c:extLst>
        </c:ser>
        <c:dLbls>
          <c:showLegendKey val="0"/>
          <c:showVal val="0"/>
          <c:showCatName val="0"/>
          <c:showSerName val="0"/>
          <c:showPercent val="0"/>
          <c:showBubbleSize val="0"/>
        </c:dLbls>
        <c:smooth val="0"/>
        <c:axId val="518414456"/>
        <c:axId val="518415112"/>
      </c:lineChart>
      <c:catAx>
        <c:axId val="518414456"/>
        <c:scaling>
          <c:orientation val="minMax"/>
        </c:scaling>
        <c:delete val="0"/>
        <c:axPos val="b"/>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415112"/>
        <c:crosses val="autoZero"/>
        <c:auto val="1"/>
        <c:lblAlgn val="ctr"/>
        <c:lblOffset val="100"/>
        <c:noMultiLvlLbl val="0"/>
      </c:catAx>
      <c:valAx>
        <c:axId val="518415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4144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135799</xdr:colOff>
      <xdr:row>2</xdr:row>
      <xdr:rowOff>47351</xdr:rowOff>
    </xdr:from>
    <xdr:to>
      <xdr:col>13</xdr:col>
      <xdr:colOff>210820</xdr:colOff>
      <xdr:row>22</xdr:row>
      <xdr:rowOff>994834</xdr:rowOff>
    </xdr:to>
    <xdr:graphicFrame macro="">
      <xdr:nvGraphicFramePr>
        <xdr:cNvPr id="2" name="Chart 1">
          <a:extLst>
            <a:ext uri="{FF2B5EF4-FFF2-40B4-BE49-F238E27FC236}">
              <a16:creationId xmlns:a16="http://schemas.microsoft.com/office/drawing/2014/main" id="{0110B2EB-7333-46A9-A24F-01097AF8F0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430837</xdr:colOff>
      <xdr:row>2</xdr:row>
      <xdr:rowOff>35074</xdr:rowOff>
    </xdr:from>
    <xdr:to>
      <xdr:col>24</xdr:col>
      <xdr:colOff>639536</xdr:colOff>
      <xdr:row>22</xdr:row>
      <xdr:rowOff>666750</xdr:rowOff>
    </xdr:to>
    <xdr:graphicFrame macro="">
      <xdr:nvGraphicFramePr>
        <xdr:cNvPr id="3" name="Chart 2">
          <a:extLst>
            <a:ext uri="{FF2B5EF4-FFF2-40B4-BE49-F238E27FC236}">
              <a16:creationId xmlns:a16="http://schemas.microsoft.com/office/drawing/2014/main" id="{F4BF0F67-B63F-403A-81A9-3C05404F7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citylc-my.sharepoint.com/Users/emilyartale/Google%20Drive/Lotus%20ES/Clients/Project%20work/Boulder%20County/Task%204%20Model%20Strategies/Analysis/Example%20Spreadsheets/CEP%20Savings%20Calculator%20v4,%20Denver%202030,%20with%205%20year%20cycle.xlsx?97B5F8C1" TargetMode="External"/><Relationship Id="rId1" Type="http://schemas.openxmlformats.org/officeDocument/2006/relationships/externalLinkPath" Target="file:///\\97B5F8C1\CEP%20Savings%20Calculator%20v4,%20Denver%202030,%20with%205%20year%20cyc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y%20Drive\Lotus%20ES\Clients\Project%20work\Routt%20County\Task%201A%20GHG%20Inventory\Data\AFOLU\Copy%20of%20Ag%20Module%20EPA%20SI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B"/>
      <sheetName val="PART C"/>
      <sheetName val="AppendixE_Cities"/>
      <sheetName val="AppendixB_Commercial EUI"/>
      <sheetName val="PART A"/>
      <sheetName val="AppendixA_Emission Factors"/>
      <sheetName val="AppendixD_Energy Prices"/>
      <sheetName val="AppendixC_Residential EUI"/>
      <sheetName val="CEP Savings Calculator v4, Denv"/>
      <sheetName val="ESTIMATED SAVINGS"/>
      <sheetName val="INDEPENDENT SAVIN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Enteric Fermentation"/>
      <sheetName val="CH4 from Manure Management"/>
      <sheetName val="N2O from Manure Management"/>
      <sheetName val="Ag Soils-Plant-Residues&amp;Legumes"/>
      <sheetName val="Ag Soils-Plant-Fertilizers"/>
      <sheetName val="Ag Soils-Animals"/>
      <sheetName val="Rice Cultivation"/>
      <sheetName val="Liming"/>
      <sheetName val="Urea Fertilization"/>
      <sheetName val="Ag. Residue Burning-CH4"/>
      <sheetName val="Ag. Residue Burning-N2O"/>
      <sheetName val="Summary"/>
      <sheetName val="Default Livestock_Crop Data "/>
      <sheetName val="Summary Figures"/>
      <sheetName val="National Adjustment"/>
      <sheetName val="Uncertainty"/>
      <sheetName val="constants"/>
      <sheetName val="FertilizerData"/>
      <sheetName val="enteric EFsNEW"/>
      <sheetName val="enteric EFs"/>
      <sheetName val="VS-CattleNEW"/>
      <sheetName val="VS-Cattle"/>
      <sheetName val="TAM and NEx Rates"/>
      <sheetName val="MCF"/>
      <sheetName val="manure%"/>
      <sheetName val="Documentation"/>
      <sheetName val="Data Sources"/>
      <sheetName val="Notes"/>
      <sheetName val="ListData"/>
      <sheetName val="animal data"/>
      <sheetName val="crop data"/>
      <sheetName val="burn data"/>
      <sheetName val="Urea Consump Calendar Yr"/>
      <sheetName val="Urea Consump Fert Yr"/>
      <sheetName val="Limestone Final Data"/>
      <sheetName val="Limestone, pre-correction"/>
      <sheetName val="Corre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1">
          <cell r="B11">
            <v>1.5714285714285714</v>
          </cell>
        </row>
        <row r="13">
          <cell r="B13">
            <v>298</v>
          </cell>
        </row>
        <row r="14">
          <cell r="B14">
            <v>0.27272727272727271</v>
          </cell>
        </row>
        <row r="22">
          <cell r="G22">
            <v>7.4999999999999997E-3</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Custom 11">
      <a:dk1>
        <a:sysClr val="windowText" lastClr="000000"/>
      </a:dk1>
      <a:lt1>
        <a:sysClr val="window" lastClr="FFFFFF"/>
      </a:lt1>
      <a:dk2>
        <a:srgbClr val="44546A"/>
      </a:dk2>
      <a:lt2>
        <a:srgbClr val="E7E6E6"/>
      </a:lt2>
      <a:accent1>
        <a:srgbClr val="4C95B5"/>
      </a:accent1>
      <a:accent2>
        <a:srgbClr val="892F7A"/>
      </a:accent2>
      <a:accent3>
        <a:srgbClr val="BD4B26"/>
      </a:accent3>
      <a:accent4>
        <a:srgbClr val="CB952C"/>
      </a:accent4>
      <a:accent5>
        <a:srgbClr val="B8BF26"/>
      </a:accent5>
      <a:accent6>
        <a:srgbClr val="C6B67C"/>
      </a:accent6>
      <a:hlink>
        <a:srgbClr val="0563C1"/>
      </a:hlink>
      <a:folHlink>
        <a:srgbClr val="954F72"/>
      </a:folHlink>
    </a:clrScheme>
    <a:fontScheme name="Lotus new">
      <a:majorFont>
        <a:latin typeface="Poppins"/>
        <a:ea typeface="Calibri"/>
        <a:cs typeface="Calibri"/>
      </a:majorFont>
      <a:minorFont>
        <a:latin typeface="Poppins"/>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achel@lotussustainability.com" TargetMode="External"/><Relationship Id="rId2" Type="http://schemas.openxmlformats.org/officeDocument/2006/relationships/hyperlink" Target="mailto:julia@lotussustainability.com" TargetMode="External"/><Relationship Id="rId1" Type="http://schemas.openxmlformats.org/officeDocument/2006/relationships/hyperlink" Target="mailto:dmartinelli@c3gov.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F7BA1"/>
  </sheetPr>
  <dimension ref="A1:L829"/>
  <sheetViews>
    <sheetView tabSelected="1" zoomScale="90" zoomScaleNormal="90" workbookViewId="0"/>
  </sheetViews>
  <sheetFormatPr defaultColWidth="11.44140625" defaultRowHeight="12.75" outlineLevelRow="1"/>
  <cols>
    <col min="1" max="1" width="29.33203125" style="32" customWidth="1"/>
    <col min="2" max="2" width="32.44140625" style="32" customWidth="1"/>
    <col min="3" max="3" width="27.33203125" style="32" customWidth="1"/>
    <col min="4" max="4" width="28.33203125" style="32" customWidth="1"/>
    <col min="5" max="5" width="25.44140625" style="32" customWidth="1"/>
    <col min="6" max="6" width="21.44140625" style="32" customWidth="1"/>
    <col min="7" max="16384" width="11.44140625" style="32"/>
  </cols>
  <sheetData>
    <row r="1" spans="1:12" ht="25.5">
      <c r="A1" s="1" t="s">
        <v>71</v>
      </c>
      <c r="B1" s="1"/>
      <c r="C1" s="1"/>
      <c r="D1" s="1"/>
      <c r="E1" s="1"/>
      <c r="F1" s="1"/>
      <c r="G1" s="30"/>
      <c r="H1" s="30"/>
      <c r="I1" s="30"/>
      <c r="J1" s="30"/>
      <c r="K1" s="30"/>
      <c r="L1" s="31"/>
    </row>
    <row r="2" spans="1:12" ht="20.25">
      <c r="A2" s="3" t="s">
        <v>56</v>
      </c>
      <c r="B2" s="3"/>
      <c r="C2" s="3"/>
      <c r="D2" s="3"/>
      <c r="E2" s="3"/>
      <c r="F2" s="3"/>
      <c r="G2" s="30"/>
      <c r="H2" s="30"/>
      <c r="I2" s="30"/>
      <c r="J2" s="30"/>
      <c r="K2" s="30"/>
      <c r="L2" s="30"/>
    </row>
    <row r="3" spans="1:12" ht="21.4" customHeight="1" outlineLevel="1">
      <c r="A3" s="254" t="s">
        <v>73</v>
      </c>
      <c r="B3" s="254"/>
      <c r="C3" s="254"/>
      <c r="D3" s="254"/>
      <c r="E3" s="254"/>
      <c r="F3" s="254"/>
      <c r="G3" s="30"/>
      <c r="H3" s="30"/>
      <c r="I3" s="30"/>
      <c r="J3" s="30"/>
      <c r="K3" s="30"/>
      <c r="L3" s="30"/>
    </row>
    <row r="4" spans="1:12" ht="21.4" customHeight="1" outlineLevel="1">
      <c r="A4" s="255"/>
      <c r="B4" s="255"/>
      <c r="C4" s="255"/>
      <c r="D4" s="255"/>
      <c r="E4" s="255"/>
      <c r="F4" s="255"/>
      <c r="G4" s="30"/>
      <c r="H4" s="30"/>
      <c r="I4" s="30"/>
      <c r="J4" s="30"/>
      <c r="K4" s="30"/>
      <c r="L4" s="30"/>
    </row>
    <row r="5" spans="1:12" ht="15.75" outlineLevel="1">
      <c r="A5" s="257" t="s">
        <v>57</v>
      </c>
      <c r="B5" s="258"/>
      <c r="C5" s="258"/>
      <c r="D5" s="258"/>
      <c r="E5" s="258"/>
      <c r="F5" s="258"/>
      <c r="G5" s="30"/>
      <c r="H5" s="30"/>
      <c r="I5" s="30"/>
      <c r="J5" s="30"/>
      <c r="K5" s="30"/>
      <c r="L5" s="30"/>
    </row>
    <row r="6" spans="1:12" s="159" customFormat="1" ht="14.25" outlineLevel="1">
      <c r="A6" s="158" t="s">
        <v>85</v>
      </c>
      <c r="C6" s="160" t="s">
        <v>81</v>
      </c>
      <c r="E6" s="165" t="s">
        <v>79</v>
      </c>
      <c r="F6" s="161"/>
      <c r="G6" s="161"/>
      <c r="H6" s="161"/>
      <c r="I6" s="161"/>
      <c r="J6" s="161"/>
      <c r="K6" s="161"/>
      <c r="L6" s="161"/>
    </row>
    <row r="7" spans="1:12" s="159" customFormat="1" ht="14.25" outlineLevel="1">
      <c r="A7" s="260" t="s">
        <v>86</v>
      </c>
      <c r="B7" s="260"/>
      <c r="C7" s="159" t="s">
        <v>82</v>
      </c>
      <c r="E7" s="162" t="s">
        <v>80</v>
      </c>
      <c r="F7" s="161"/>
      <c r="G7" s="161"/>
      <c r="H7" s="161"/>
      <c r="I7" s="161"/>
      <c r="J7" s="161"/>
      <c r="K7" s="161"/>
      <c r="L7" s="161"/>
    </row>
    <row r="8" spans="1:12" s="159" customFormat="1" ht="14.25" outlineLevel="1">
      <c r="A8" s="162" t="s">
        <v>87</v>
      </c>
      <c r="C8" s="162" t="s">
        <v>58</v>
      </c>
      <c r="E8" s="162" t="s">
        <v>58</v>
      </c>
      <c r="F8" s="161"/>
      <c r="G8" s="161"/>
      <c r="H8" s="161"/>
      <c r="I8" s="161"/>
      <c r="J8" s="161"/>
    </row>
    <row r="9" spans="1:12" s="159" customFormat="1" ht="14.25" outlineLevel="1">
      <c r="A9" s="161" t="s">
        <v>88</v>
      </c>
      <c r="C9" s="159" t="s">
        <v>83</v>
      </c>
      <c r="E9" s="161" t="s">
        <v>59</v>
      </c>
      <c r="F9" s="161"/>
      <c r="G9" s="161"/>
      <c r="H9" s="161"/>
      <c r="I9" s="161"/>
      <c r="J9" s="161"/>
    </row>
    <row r="10" spans="1:12" s="159" customFormat="1" ht="14.25" outlineLevel="1">
      <c r="A10" s="163" t="s">
        <v>89</v>
      </c>
      <c r="C10" s="164" t="s">
        <v>84</v>
      </c>
      <c r="E10" s="166" t="s">
        <v>74</v>
      </c>
      <c r="F10" s="161"/>
      <c r="G10" s="161"/>
      <c r="H10" s="161"/>
      <c r="I10" s="161"/>
      <c r="J10" s="161"/>
    </row>
    <row r="11" spans="1:12" ht="20.25">
      <c r="A11" s="3" t="s">
        <v>60</v>
      </c>
      <c r="B11" s="3"/>
      <c r="C11" s="3"/>
      <c r="D11" s="3"/>
      <c r="E11" s="3"/>
      <c r="F11" s="3"/>
      <c r="G11" s="30"/>
      <c r="H11" s="30"/>
      <c r="I11" s="30"/>
      <c r="J11" s="30"/>
      <c r="K11" s="30"/>
      <c r="L11" s="30"/>
    </row>
    <row r="12" spans="1:12" ht="14.25" outlineLevel="1">
      <c r="A12" s="254" t="s">
        <v>198</v>
      </c>
      <c r="B12" s="254"/>
      <c r="C12" s="254"/>
      <c r="D12" s="254"/>
      <c r="E12" s="254"/>
      <c r="F12" s="254"/>
      <c r="G12" s="30"/>
      <c r="H12" s="30"/>
      <c r="I12" s="30"/>
      <c r="J12" s="30"/>
      <c r="K12" s="30"/>
      <c r="L12" s="30"/>
    </row>
    <row r="13" spans="1:12" ht="20.25">
      <c r="A13" s="3" t="s">
        <v>61</v>
      </c>
      <c r="B13" s="3"/>
      <c r="C13" s="3"/>
      <c r="D13" s="3"/>
      <c r="E13" s="3"/>
      <c r="F13" s="3"/>
      <c r="G13" s="30"/>
      <c r="H13" s="30"/>
      <c r="I13" s="30"/>
      <c r="J13" s="30"/>
      <c r="K13" s="30"/>
      <c r="L13" s="31"/>
    </row>
    <row r="14" spans="1:12" ht="14.25" outlineLevel="1">
      <c r="A14" s="256" t="s">
        <v>62</v>
      </c>
      <c r="B14" s="256"/>
      <c r="C14" s="256"/>
      <c r="D14" s="256"/>
      <c r="E14" s="256"/>
      <c r="F14" s="256"/>
      <c r="G14" s="259"/>
      <c r="H14" s="259"/>
      <c r="I14" s="30"/>
      <c r="J14" s="30"/>
      <c r="K14" s="30"/>
      <c r="L14" s="31"/>
    </row>
    <row r="15" spans="1:12" ht="20.25">
      <c r="A15" s="3" t="s">
        <v>63</v>
      </c>
      <c r="B15" s="3"/>
      <c r="C15" s="3"/>
      <c r="D15" s="3"/>
      <c r="E15" s="3"/>
      <c r="F15" s="3"/>
      <c r="G15" s="30"/>
      <c r="H15" s="30"/>
      <c r="I15" s="30"/>
      <c r="J15" s="30"/>
      <c r="K15" s="30"/>
      <c r="L15" s="31"/>
    </row>
    <row r="16" spans="1:12" ht="15.75" outlineLevel="1">
      <c r="A16" s="34" t="s">
        <v>64</v>
      </c>
      <c r="B16" s="251" t="s">
        <v>65</v>
      </c>
      <c r="C16" s="251"/>
      <c r="D16" s="252"/>
      <c r="E16" s="33"/>
      <c r="F16" s="33"/>
      <c r="G16" s="30"/>
      <c r="H16" s="30"/>
      <c r="I16" s="30"/>
      <c r="J16" s="30"/>
      <c r="K16" s="31"/>
    </row>
    <row r="17" spans="1:12" ht="15.75" outlineLevel="1">
      <c r="A17" s="35" t="s">
        <v>66</v>
      </c>
      <c r="B17" s="253" t="s">
        <v>67</v>
      </c>
      <c r="C17" s="253"/>
      <c r="D17" s="253"/>
      <c r="E17" s="37"/>
      <c r="F17" s="37"/>
      <c r="G17" s="30"/>
      <c r="H17" s="30"/>
      <c r="I17" s="30"/>
      <c r="J17" s="30"/>
      <c r="K17" s="31"/>
    </row>
    <row r="18" spans="1:12" ht="15.75" outlineLevel="1">
      <c r="A18" s="36" t="s">
        <v>68</v>
      </c>
      <c r="B18" s="250" t="s">
        <v>72</v>
      </c>
      <c r="C18" s="250"/>
      <c r="D18" s="250"/>
      <c r="F18" s="37"/>
      <c r="G18" s="30"/>
      <c r="H18" s="30"/>
      <c r="I18" s="30"/>
      <c r="J18" s="30"/>
      <c r="K18" s="31"/>
    </row>
    <row r="19" spans="1:12" ht="15.75" outlineLevel="1">
      <c r="A19" s="36" t="s">
        <v>69</v>
      </c>
      <c r="B19" s="250" t="s">
        <v>70</v>
      </c>
      <c r="C19" s="250"/>
      <c r="D19" s="250"/>
      <c r="F19" s="37"/>
      <c r="G19" s="30"/>
      <c r="H19" s="30"/>
      <c r="I19" s="30"/>
      <c r="J19" s="30"/>
      <c r="K19" s="31"/>
    </row>
    <row r="20" spans="1:12" ht="15.75" outlineLevel="1">
      <c r="A20" s="36" t="s">
        <v>192</v>
      </c>
      <c r="B20" s="250" t="s">
        <v>193</v>
      </c>
      <c r="C20" s="250"/>
      <c r="D20" s="250"/>
      <c r="F20" s="48"/>
      <c r="G20" s="30"/>
      <c r="H20" s="30"/>
      <c r="I20" s="30"/>
      <c r="J20" s="30"/>
      <c r="K20" s="31"/>
    </row>
    <row r="21" spans="1:12">
      <c r="A21" s="30"/>
      <c r="B21" s="30"/>
      <c r="C21" s="30"/>
      <c r="D21" s="30"/>
      <c r="E21" s="30"/>
      <c r="F21" s="31"/>
      <c r="G21" s="30"/>
      <c r="H21" s="30"/>
      <c r="I21" s="30"/>
      <c r="J21" s="30"/>
      <c r="K21" s="30"/>
      <c r="L21" s="31"/>
    </row>
    <row r="22" spans="1:12">
      <c r="A22" s="30"/>
      <c r="B22" s="30"/>
      <c r="C22" s="30"/>
      <c r="D22" s="30"/>
      <c r="E22" s="30"/>
      <c r="F22" s="30"/>
      <c r="G22" s="30"/>
      <c r="H22" s="30"/>
      <c r="I22" s="30"/>
      <c r="J22" s="30"/>
      <c r="K22" s="30"/>
      <c r="L22" s="31"/>
    </row>
    <row r="23" spans="1:12">
      <c r="A23" s="30"/>
      <c r="B23" s="30"/>
      <c r="C23" s="30"/>
      <c r="D23" s="30"/>
      <c r="E23" s="30"/>
      <c r="F23" s="30"/>
      <c r="G23" s="30"/>
      <c r="H23" s="30"/>
      <c r="I23" s="30"/>
      <c r="J23" s="30"/>
      <c r="K23" s="30"/>
      <c r="L23" s="31"/>
    </row>
    <row r="24" spans="1:12">
      <c r="A24" s="30"/>
      <c r="B24" s="30"/>
      <c r="C24" s="30"/>
      <c r="D24" s="30"/>
      <c r="E24" s="30"/>
      <c r="F24" s="30"/>
      <c r="G24" s="30"/>
      <c r="H24" s="30"/>
      <c r="I24" s="30"/>
      <c r="J24" s="30"/>
      <c r="K24" s="30"/>
      <c r="L24" s="31"/>
    </row>
    <row r="25" spans="1:12">
      <c r="A25" s="30"/>
      <c r="B25" s="30"/>
      <c r="C25" s="30"/>
      <c r="D25" s="30"/>
      <c r="E25" s="30"/>
      <c r="F25" s="30"/>
      <c r="G25" s="30"/>
      <c r="H25" s="30"/>
      <c r="I25" s="30"/>
      <c r="J25" s="30"/>
      <c r="K25" s="30"/>
      <c r="L25" s="31"/>
    </row>
    <row r="26" spans="1:12">
      <c r="A26" s="30"/>
      <c r="B26" s="30"/>
      <c r="C26" s="30"/>
      <c r="D26" s="30"/>
      <c r="E26" s="30"/>
      <c r="F26" s="30"/>
      <c r="G26" s="30"/>
      <c r="H26" s="30"/>
      <c r="I26" s="30"/>
      <c r="J26" s="30"/>
      <c r="K26" s="30"/>
      <c r="L26" s="31"/>
    </row>
    <row r="27" spans="1:12">
      <c r="A27" s="30"/>
      <c r="B27" s="30"/>
      <c r="C27" s="30"/>
      <c r="D27" s="30"/>
      <c r="E27" s="30"/>
      <c r="F27" s="30"/>
      <c r="G27" s="30"/>
      <c r="H27" s="30"/>
      <c r="I27" s="30"/>
      <c r="J27" s="30"/>
      <c r="K27" s="30"/>
      <c r="L27" s="31"/>
    </row>
    <row r="28" spans="1:12">
      <c r="A28" s="30"/>
      <c r="B28" s="30"/>
      <c r="C28" s="30"/>
      <c r="D28" s="30"/>
      <c r="E28" s="30"/>
      <c r="F28" s="30"/>
      <c r="G28" s="30"/>
      <c r="H28" s="30"/>
      <c r="I28" s="30"/>
      <c r="J28" s="30"/>
      <c r="K28" s="30"/>
      <c r="L28" s="31"/>
    </row>
    <row r="29" spans="1:12">
      <c r="A29" s="30"/>
      <c r="B29" s="30"/>
      <c r="C29" s="30"/>
      <c r="D29" s="30"/>
      <c r="E29" s="30"/>
      <c r="F29" s="30"/>
      <c r="G29" s="30"/>
      <c r="H29" s="30"/>
      <c r="I29" s="30"/>
      <c r="J29" s="30"/>
      <c r="K29" s="30"/>
      <c r="L29" s="31"/>
    </row>
    <row r="30" spans="1:12">
      <c r="A30" s="30"/>
      <c r="B30" s="30"/>
      <c r="C30" s="30"/>
      <c r="D30" s="30"/>
      <c r="E30" s="30"/>
      <c r="F30" s="30"/>
      <c r="G30" s="30"/>
      <c r="H30" s="30"/>
      <c r="I30" s="30"/>
      <c r="J30" s="30"/>
      <c r="K30" s="30"/>
      <c r="L30" s="31"/>
    </row>
    <row r="31" spans="1:12">
      <c r="A31" s="30"/>
      <c r="B31" s="30"/>
      <c r="C31" s="30"/>
      <c r="D31" s="30"/>
      <c r="E31" s="30"/>
      <c r="F31" s="30"/>
      <c r="G31" s="30"/>
      <c r="H31" s="30"/>
      <c r="I31" s="30"/>
      <c r="J31" s="30"/>
      <c r="K31" s="30"/>
      <c r="L31" s="31"/>
    </row>
    <row r="32" spans="1:12">
      <c r="A32" s="30"/>
      <c r="B32" s="30"/>
      <c r="C32" s="30"/>
      <c r="D32" s="30"/>
      <c r="E32" s="30"/>
      <c r="F32" s="30"/>
      <c r="G32" s="30"/>
      <c r="H32" s="30"/>
      <c r="I32" s="30"/>
      <c r="J32" s="30"/>
      <c r="K32" s="30"/>
      <c r="L32" s="31"/>
    </row>
    <row r="33" spans="1:12">
      <c r="A33" s="30"/>
      <c r="B33" s="30"/>
      <c r="C33" s="30"/>
      <c r="D33" s="30"/>
      <c r="E33" s="30"/>
      <c r="F33" s="30"/>
      <c r="G33" s="30"/>
      <c r="H33" s="30"/>
      <c r="I33" s="30"/>
      <c r="J33" s="30"/>
      <c r="K33" s="30"/>
      <c r="L33" s="31"/>
    </row>
    <row r="34" spans="1:12">
      <c r="A34" s="30"/>
      <c r="B34" s="30"/>
      <c r="C34" s="30"/>
      <c r="D34" s="30"/>
      <c r="E34" s="30"/>
      <c r="F34" s="30"/>
      <c r="G34" s="30"/>
      <c r="H34" s="30"/>
      <c r="I34" s="30"/>
      <c r="J34" s="30"/>
      <c r="K34" s="30"/>
      <c r="L34" s="31"/>
    </row>
    <row r="35" spans="1:12">
      <c r="A35" s="30"/>
      <c r="B35" s="30"/>
      <c r="C35" s="30"/>
      <c r="D35" s="30"/>
      <c r="E35" s="30"/>
      <c r="F35" s="30"/>
      <c r="G35" s="30"/>
      <c r="H35" s="30"/>
      <c r="I35" s="30"/>
      <c r="J35" s="30"/>
      <c r="K35" s="30"/>
      <c r="L35" s="31"/>
    </row>
    <row r="36" spans="1:12">
      <c r="A36" s="30"/>
      <c r="B36" s="30"/>
      <c r="C36" s="30"/>
      <c r="D36" s="30"/>
      <c r="E36" s="30"/>
      <c r="F36" s="30"/>
      <c r="G36" s="30"/>
      <c r="H36" s="30"/>
      <c r="I36" s="30"/>
      <c r="J36" s="30"/>
      <c r="K36" s="30"/>
      <c r="L36" s="31"/>
    </row>
    <row r="37" spans="1:12">
      <c r="A37" s="30"/>
      <c r="B37" s="30"/>
      <c r="C37" s="30"/>
      <c r="D37" s="30"/>
      <c r="E37" s="30"/>
      <c r="F37" s="30"/>
      <c r="G37" s="30"/>
      <c r="H37" s="30"/>
      <c r="I37" s="30"/>
      <c r="J37" s="30"/>
      <c r="K37" s="30"/>
      <c r="L37" s="31"/>
    </row>
    <row r="38" spans="1:12">
      <c r="A38" s="30"/>
      <c r="B38" s="30"/>
      <c r="C38" s="30"/>
      <c r="D38" s="30"/>
      <c r="E38" s="30"/>
      <c r="F38" s="30"/>
      <c r="G38" s="30"/>
      <c r="H38" s="30"/>
      <c r="I38" s="30"/>
      <c r="J38" s="30"/>
      <c r="K38" s="30"/>
      <c r="L38" s="31"/>
    </row>
    <row r="39" spans="1:12">
      <c r="A39" s="30"/>
      <c r="B39" s="30"/>
      <c r="C39" s="30"/>
      <c r="D39" s="30"/>
      <c r="E39" s="30"/>
      <c r="F39" s="30"/>
      <c r="G39" s="30"/>
      <c r="H39" s="30"/>
      <c r="I39" s="30"/>
      <c r="J39" s="30"/>
      <c r="K39" s="30"/>
      <c r="L39" s="31"/>
    </row>
    <row r="40" spans="1:12">
      <c r="A40" s="30"/>
      <c r="B40" s="30"/>
      <c r="C40" s="30"/>
      <c r="D40" s="30"/>
      <c r="E40" s="30"/>
      <c r="F40" s="30"/>
      <c r="G40" s="30"/>
      <c r="H40" s="30"/>
      <c r="I40" s="30"/>
      <c r="J40" s="30"/>
      <c r="K40" s="30"/>
      <c r="L40" s="31"/>
    </row>
    <row r="41" spans="1:12">
      <c r="A41" s="30"/>
      <c r="B41" s="30"/>
      <c r="C41" s="30"/>
      <c r="D41" s="30"/>
      <c r="E41" s="30"/>
      <c r="F41" s="30"/>
      <c r="G41" s="30"/>
      <c r="H41" s="30"/>
      <c r="I41" s="30"/>
      <c r="J41" s="30"/>
      <c r="K41" s="30"/>
      <c r="L41" s="31"/>
    </row>
    <row r="42" spans="1:12">
      <c r="A42" s="30"/>
      <c r="B42" s="30"/>
      <c r="C42" s="30"/>
      <c r="D42" s="30"/>
      <c r="E42" s="30"/>
      <c r="F42" s="30"/>
      <c r="G42" s="30"/>
      <c r="H42" s="30"/>
      <c r="I42" s="30"/>
      <c r="J42" s="30"/>
      <c r="K42" s="30"/>
      <c r="L42" s="31"/>
    </row>
    <row r="43" spans="1:12">
      <c r="A43" s="30"/>
      <c r="B43" s="30"/>
      <c r="C43" s="30"/>
      <c r="D43" s="30"/>
      <c r="E43" s="30"/>
      <c r="F43" s="30"/>
      <c r="G43" s="30"/>
      <c r="H43" s="30"/>
      <c r="I43" s="30"/>
      <c r="J43" s="30"/>
      <c r="K43" s="30"/>
      <c r="L43" s="31"/>
    </row>
    <row r="44" spans="1:12">
      <c r="A44" s="30"/>
      <c r="B44" s="30"/>
      <c r="C44" s="30"/>
      <c r="D44" s="30"/>
      <c r="E44" s="30"/>
      <c r="F44" s="30"/>
      <c r="G44" s="30"/>
      <c r="H44" s="30"/>
      <c r="I44" s="30"/>
      <c r="J44" s="30"/>
      <c r="K44" s="30"/>
      <c r="L44" s="31"/>
    </row>
    <row r="45" spans="1:12">
      <c r="A45" s="30"/>
      <c r="B45" s="30"/>
      <c r="C45" s="30"/>
      <c r="D45" s="30"/>
      <c r="E45" s="30"/>
      <c r="F45" s="30"/>
      <c r="G45" s="30"/>
      <c r="H45" s="30"/>
      <c r="I45" s="30"/>
      <c r="J45" s="30"/>
      <c r="K45" s="30"/>
      <c r="L45" s="31"/>
    </row>
    <row r="46" spans="1:12">
      <c r="A46" s="30"/>
      <c r="B46" s="30"/>
      <c r="C46" s="30"/>
      <c r="D46" s="30"/>
      <c r="E46" s="30"/>
      <c r="F46" s="30"/>
      <c r="G46" s="30"/>
      <c r="H46" s="30"/>
      <c r="I46" s="30"/>
      <c r="J46" s="30"/>
      <c r="K46" s="30"/>
      <c r="L46" s="31"/>
    </row>
    <row r="47" spans="1:12">
      <c r="A47" s="30"/>
      <c r="B47" s="30"/>
      <c r="C47" s="30"/>
      <c r="D47" s="30"/>
      <c r="E47" s="30"/>
      <c r="F47" s="30"/>
      <c r="G47" s="30"/>
      <c r="H47" s="30"/>
      <c r="I47" s="30"/>
      <c r="J47" s="30"/>
      <c r="K47" s="30"/>
      <c r="L47" s="31"/>
    </row>
    <row r="48" spans="1:12">
      <c r="A48" s="30"/>
      <c r="B48" s="30"/>
      <c r="C48" s="30"/>
      <c r="D48" s="30"/>
      <c r="E48" s="30"/>
      <c r="F48" s="30"/>
      <c r="G48" s="30"/>
      <c r="H48" s="30"/>
      <c r="I48" s="30"/>
      <c r="J48" s="30"/>
      <c r="K48" s="30"/>
      <c r="L48" s="31"/>
    </row>
    <row r="49" spans="1:12">
      <c r="A49" s="30"/>
      <c r="B49" s="30"/>
      <c r="C49" s="30"/>
      <c r="D49" s="30"/>
      <c r="E49" s="30"/>
      <c r="F49" s="30"/>
      <c r="G49" s="30"/>
      <c r="H49" s="30"/>
      <c r="I49" s="30"/>
      <c r="J49" s="30"/>
      <c r="K49" s="30"/>
      <c r="L49" s="31"/>
    </row>
    <row r="50" spans="1:12">
      <c r="A50" s="30"/>
      <c r="B50" s="30"/>
      <c r="C50" s="30"/>
      <c r="D50" s="30"/>
      <c r="E50" s="30"/>
      <c r="F50" s="30"/>
      <c r="G50" s="30"/>
      <c r="H50" s="30"/>
      <c r="I50" s="30"/>
      <c r="J50" s="30"/>
      <c r="K50" s="30"/>
      <c r="L50" s="31"/>
    </row>
    <row r="51" spans="1:12">
      <c r="A51" s="30"/>
      <c r="B51" s="30"/>
      <c r="C51" s="30"/>
      <c r="D51" s="30"/>
      <c r="E51" s="30"/>
      <c r="F51" s="30"/>
      <c r="G51" s="30"/>
      <c r="H51" s="30"/>
      <c r="I51" s="30"/>
      <c r="J51" s="30"/>
      <c r="K51" s="30"/>
      <c r="L51" s="31"/>
    </row>
    <row r="52" spans="1:12">
      <c r="A52" s="30"/>
      <c r="B52" s="30"/>
      <c r="C52" s="30"/>
      <c r="D52" s="30"/>
      <c r="E52" s="30"/>
      <c r="F52" s="30"/>
      <c r="G52" s="30"/>
      <c r="H52" s="30"/>
      <c r="I52" s="30"/>
      <c r="J52" s="30"/>
      <c r="K52" s="30"/>
      <c r="L52" s="31"/>
    </row>
    <row r="53" spans="1:12">
      <c r="A53" s="30"/>
      <c r="B53" s="30"/>
      <c r="C53" s="30"/>
      <c r="D53" s="30"/>
      <c r="E53" s="30"/>
      <c r="F53" s="30"/>
      <c r="G53" s="30"/>
      <c r="H53" s="30"/>
      <c r="I53" s="30"/>
      <c r="J53" s="30"/>
      <c r="K53" s="30"/>
      <c r="L53" s="31"/>
    </row>
    <row r="54" spans="1:12">
      <c r="A54" s="30"/>
      <c r="B54" s="30"/>
      <c r="C54" s="30"/>
      <c r="D54" s="30"/>
      <c r="E54" s="30"/>
      <c r="F54" s="30"/>
      <c r="G54" s="30"/>
      <c r="H54" s="30"/>
      <c r="I54" s="30"/>
      <c r="J54" s="30"/>
      <c r="K54" s="30"/>
      <c r="L54" s="31"/>
    </row>
    <row r="55" spans="1:12">
      <c r="A55" s="30"/>
      <c r="B55" s="30"/>
      <c r="C55" s="30"/>
      <c r="D55" s="30"/>
      <c r="E55" s="30"/>
      <c r="F55" s="30"/>
      <c r="G55" s="30"/>
      <c r="H55" s="30"/>
      <c r="I55" s="30"/>
      <c r="J55" s="30"/>
      <c r="K55" s="30"/>
      <c r="L55" s="31"/>
    </row>
    <row r="56" spans="1:12">
      <c r="A56" s="30"/>
      <c r="B56" s="30"/>
      <c r="C56" s="30"/>
      <c r="D56" s="30"/>
      <c r="E56" s="30"/>
      <c r="F56" s="30"/>
      <c r="G56" s="30"/>
      <c r="H56" s="30"/>
      <c r="I56" s="30"/>
      <c r="J56" s="30"/>
      <c r="K56" s="30"/>
      <c r="L56" s="31"/>
    </row>
    <row r="57" spans="1:12">
      <c r="A57" s="30"/>
      <c r="B57" s="30"/>
      <c r="C57" s="30"/>
      <c r="D57" s="30"/>
      <c r="E57" s="30"/>
      <c r="F57" s="30"/>
      <c r="G57" s="30"/>
      <c r="H57" s="30"/>
      <c r="I57" s="30"/>
      <c r="J57" s="30"/>
      <c r="K57" s="30"/>
      <c r="L57" s="31"/>
    </row>
    <row r="58" spans="1:12">
      <c r="A58" s="30"/>
      <c r="B58" s="30"/>
      <c r="C58" s="30"/>
      <c r="D58" s="30"/>
      <c r="E58" s="30"/>
      <c r="F58" s="30"/>
      <c r="G58" s="30"/>
      <c r="H58" s="30"/>
      <c r="I58" s="30"/>
      <c r="J58" s="30"/>
      <c r="K58" s="30"/>
      <c r="L58" s="31"/>
    </row>
    <row r="59" spans="1:12">
      <c r="A59" s="30"/>
      <c r="B59" s="30"/>
      <c r="C59" s="30"/>
      <c r="D59" s="30"/>
      <c r="E59" s="30"/>
      <c r="F59" s="30"/>
      <c r="G59" s="30"/>
      <c r="H59" s="30"/>
      <c r="I59" s="30"/>
      <c r="J59" s="30"/>
      <c r="K59" s="30"/>
      <c r="L59" s="31"/>
    </row>
    <row r="60" spans="1:12">
      <c r="A60" s="30"/>
      <c r="B60" s="30"/>
      <c r="C60" s="30"/>
      <c r="D60" s="30"/>
      <c r="E60" s="30"/>
      <c r="F60" s="30"/>
      <c r="G60" s="30"/>
      <c r="H60" s="30"/>
      <c r="I60" s="30"/>
      <c r="J60" s="30"/>
      <c r="K60" s="30"/>
      <c r="L60" s="31"/>
    </row>
    <row r="61" spans="1:12">
      <c r="A61" s="30"/>
      <c r="B61" s="30"/>
      <c r="C61" s="30"/>
      <c r="D61" s="30"/>
      <c r="E61" s="30"/>
      <c r="F61" s="30"/>
      <c r="G61" s="30"/>
      <c r="H61" s="30"/>
      <c r="I61" s="30"/>
      <c r="J61" s="30"/>
      <c r="K61" s="30"/>
      <c r="L61" s="31"/>
    </row>
    <row r="62" spans="1:12">
      <c r="A62" s="30"/>
      <c r="B62" s="30"/>
      <c r="C62" s="30"/>
      <c r="D62" s="30"/>
      <c r="E62" s="30"/>
      <c r="F62" s="30"/>
      <c r="G62" s="30"/>
      <c r="H62" s="30"/>
      <c r="I62" s="30"/>
      <c r="J62" s="30"/>
      <c r="K62" s="30"/>
      <c r="L62" s="31"/>
    </row>
    <row r="63" spans="1:12">
      <c r="A63" s="30"/>
      <c r="B63" s="30"/>
      <c r="C63" s="30"/>
      <c r="D63" s="30"/>
      <c r="E63" s="30"/>
      <c r="F63" s="30"/>
      <c r="G63" s="30"/>
      <c r="H63" s="30"/>
      <c r="I63" s="30"/>
      <c r="J63" s="30"/>
      <c r="K63" s="30"/>
      <c r="L63" s="31"/>
    </row>
    <row r="64" spans="1:12">
      <c r="A64" s="30"/>
      <c r="B64" s="30"/>
      <c r="C64" s="30"/>
      <c r="D64" s="30"/>
      <c r="E64" s="30"/>
      <c r="F64" s="30"/>
      <c r="G64" s="30"/>
      <c r="H64" s="30"/>
      <c r="I64" s="30"/>
      <c r="J64" s="30"/>
      <c r="K64" s="30"/>
      <c r="L64" s="31"/>
    </row>
    <row r="65" spans="1:12">
      <c r="A65" s="30"/>
      <c r="B65" s="30"/>
      <c r="C65" s="30"/>
      <c r="D65" s="30"/>
      <c r="E65" s="30"/>
      <c r="F65" s="30"/>
      <c r="G65" s="30"/>
      <c r="H65" s="30"/>
      <c r="I65" s="30"/>
      <c r="J65" s="30"/>
      <c r="K65" s="30"/>
      <c r="L65" s="31"/>
    </row>
    <row r="66" spans="1:12">
      <c r="A66" s="30"/>
      <c r="B66" s="30"/>
      <c r="C66" s="30"/>
      <c r="D66" s="30"/>
      <c r="E66" s="30"/>
      <c r="F66" s="30"/>
      <c r="G66" s="30"/>
      <c r="H66" s="30"/>
      <c r="I66" s="30"/>
      <c r="J66" s="30"/>
      <c r="K66" s="30"/>
      <c r="L66" s="31"/>
    </row>
    <row r="67" spans="1:12">
      <c r="A67" s="30"/>
      <c r="B67" s="30"/>
      <c r="C67" s="30"/>
      <c r="D67" s="30"/>
      <c r="E67" s="30"/>
      <c r="F67" s="30"/>
      <c r="G67" s="30"/>
      <c r="H67" s="30"/>
      <c r="I67" s="30"/>
      <c r="J67" s="30"/>
      <c r="K67" s="30"/>
      <c r="L67" s="31"/>
    </row>
    <row r="68" spans="1:12">
      <c r="A68" s="30"/>
      <c r="B68" s="30"/>
      <c r="C68" s="30"/>
      <c r="D68" s="30"/>
      <c r="E68" s="30"/>
      <c r="F68" s="30"/>
      <c r="G68" s="30"/>
      <c r="H68" s="30"/>
      <c r="I68" s="30"/>
      <c r="J68" s="30"/>
      <c r="K68" s="30"/>
      <c r="L68" s="31"/>
    </row>
    <row r="69" spans="1:12">
      <c r="A69" s="30"/>
      <c r="B69" s="30"/>
      <c r="C69" s="30"/>
      <c r="D69" s="30"/>
      <c r="E69" s="30"/>
      <c r="F69" s="30"/>
      <c r="G69" s="30"/>
      <c r="H69" s="30"/>
      <c r="I69" s="30"/>
      <c r="J69" s="30"/>
      <c r="K69" s="30"/>
      <c r="L69" s="31"/>
    </row>
    <row r="70" spans="1:12">
      <c r="A70" s="30"/>
      <c r="B70" s="30"/>
      <c r="C70" s="30"/>
      <c r="D70" s="30"/>
      <c r="E70" s="30"/>
      <c r="F70" s="30"/>
      <c r="G70" s="30"/>
      <c r="H70" s="30"/>
      <c r="I70" s="30"/>
      <c r="J70" s="30"/>
      <c r="K70" s="30"/>
      <c r="L70" s="31"/>
    </row>
    <row r="71" spans="1:12">
      <c r="A71" s="30"/>
      <c r="B71" s="30"/>
      <c r="C71" s="30"/>
      <c r="D71" s="30"/>
      <c r="E71" s="30"/>
      <c r="F71" s="30"/>
      <c r="G71" s="30"/>
      <c r="H71" s="30"/>
      <c r="I71" s="30"/>
      <c r="J71" s="30"/>
      <c r="K71" s="30"/>
      <c r="L71" s="31"/>
    </row>
    <row r="72" spans="1:12">
      <c r="A72" s="30"/>
      <c r="B72" s="30"/>
      <c r="C72" s="30"/>
      <c r="D72" s="30"/>
      <c r="E72" s="30"/>
      <c r="F72" s="30"/>
      <c r="G72" s="30"/>
      <c r="H72" s="30"/>
      <c r="I72" s="30"/>
      <c r="J72" s="30"/>
      <c r="K72" s="30"/>
      <c r="L72" s="31"/>
    </row>
    <row r="73" spans="1:12">
      <c r="A73" s="30"/>
      <c r="B73" s="30"/>
      <c r="C73" s="30"/>
      <c r="D73" s="30"/>
      <c r="E73" s="30"/>
      <c r="F73" s="30"/>
      <c r="G73" s="30"/>
      <c r="H73" s="30"/>
      <c r="I73" s="30"/>
      <c r="J73" s="30"/>
      <c r="K73" s="30"/>
      <c r="L73" s="31"/>
    </row>
    <row r="74" spans="1:12">
      <c r="A74" s="30"/>
      <c r="B74" s="30"/>
      <c r="C74" s="30"/>
      <c r="D74" s="30"/>
      <c r="E74" s="30"/>
      <c r="F74" s="30"/>
      <c r="G74" s="30"/>
      <c r="H74" s="30"/>
      <c r="I74" s="30"/>
      <c r="J74" s="30"/>
      <c r="K74" s="30"/>
      <c r="L74" s="31"/>
    </row>
    <row r="75" spans="1:12">
      <c r="A75" s="30"/>
      <c r="B75" s="30"/>
      <c r="C75" s="30"/>
      <c r="D75" s="30"/>
      <c r="E75" s="30"/>
      <c r="F75" s="30"/>
      <c r="G75" s="30"/>
      <c r="H75" s="30"/>
      <c r="I75" s="30"/>
      <c r="J75" s="30"/>
      <c r="K75" s="30"/>
      <c r="L75" s="31"/>
    </row>
    <row r="76" spans="1:12">
      <c r="A76" s="30"/>
      <c r="B76" s="30"/>
      <c r="C76" s="30"/>
      <c r="D76" s="30"/>
      <c r="E76" s="30"/>
      <c r="F76" s="30"/>
      <c r="G76" s="30"/>
      <c r="H76" s="30"/>
      <c r="I76" s="30"/>
      <c r="J76" s="30"/>
      <c r="K76" s="30"/>
      <c r="L76" s="31"/>
    </row>
    <row r="77" spans="1:12">
      <c r="A77" s="30"/>
      <c r="B77" s="30"/>
      <c r="C77" s="30"/>
      <c r="D77" s="30"/>
      <c r="E77" s="30"/>
      <c r="F77" s="30"/>
      <c r="G77" s="30"/>
      <c r="H77" s="30"/>
      <c r="I77" s="30"/>
      <c r="J77" s="30"/>
      <c r="K77" s="30"/>
      <c r="L77" s="31"/>
    </row>
    <row r="78" spans="1:12">
      <c r="A78" s="30"/>
      <c r="B78" s="30"/>
      <c r="C78" s="30"/>
      <c r="D78" s="30"/>
      <c r="E78" s="30"/>
      <c r="F78" s="30"/>
      <c r="G78" s="30"/>
      <c r="H78" s="30"/>
      <c r="I78" s="30"/>
      <c r="J78" s="30"/>
      <c r="K78" s="30"/>
      <c r="L78" s="31"/>
    </row>
    <row r="79" spans="1:12">
      <c r="A79" s="30"/>
      <c r="B79" s="30"/>
      <c r="C79" s="30"/>
      <c r="D79" s="30"/>
      <c r="E79" s="30"/>
      <c r="F79" s="30"/>
      <c r="G79" s="30"/>
      <c r="H79" s="30"/>
      <c r="I79" s="30"/>
      <c r="J79" s="30"/>
      <c r="K79" s="30"/>
      <c r="L79" s="31"/>
    </row>
    <row r="80" spans="1:12">
      <c r="A80" s="30"/>
      <c r="B80" s="30"/>
      <c r="C80" s="30"/>
      <c r="D80" s="30"/>
      <c r="E80" s="30"/>
      <c r="F80" s="30"/>
      <c r="G80" s="30"/>
      <c r="H80" s="30"/>
      <c r="I80" s="30"/>
      <c r="J80" s="30"/>
      <c r="K80" s="30"/>
      <c r="L80" s="31"/>
    </row>
    <row r="81" spans="1:12">
      <c r="A81" s="30"/>
      <c r="B81" s="30"/>
      <c r="C81" s="30"/>
      <c r="D81" s="30"/>
      <c r="E81" s="30"/>
      <c r="F81" s="30"/>
      <c r="G81" s="30"/>
      <c r="H81" s="30"/>
      <c r="I81" s="30"/>
      <c r="J81" s="30"/>
      <c r="K81" s="30"/>
      <c r="L81" s="31"/>
    </row>
    <row r="82" spans="1:12">
      <c r="A82" s="30"/>
      <c r="B82" s="30"/>
      <c r="C82" s="30"/>
      <c r="D82" s="30"/>
      <c r="E82" s="30"/>
      <c r="F82" s="30"/>
      <c r="G82" s="30"/>
      <c r="H82" s="30"/>
      <c r="I82" s="30"/>
      <c r="J82" s="30"/>
      <c r="K82" s="30"/>
      <c r="L82" s="31"/>
    </row>
    <row r="83" spans="1:12">
      <c r="A83" s="30"/>
      <c r="B83" s="30"/>
      <c r="C83" s="30"/>
      <c r="D83" s="30"/>
      <c r="E83" s="30"/>
      <c r="F83" s="30"/>
      <c r="G83" s="30"/>
      <c r="H83" s="30"/>
      <c r="I83" s="30"/>
      <c r="J83" s="30"/>
      <c r="K83" s="30"/>
      <c r="L83" s="31"/>
    </row>
    <row r="84" spans="1:12">
      <c r="A84" s="30"/>
      <c r="B84" s="30"/>
      <c r="C84" s="30"/>
      <c r="D84" s="30"/>
      <c r="E84" s="30"/>
      <c r="F84" s="30"/>
      <c r="G84" s="30"/>
      <c r="H84" s="30"/>
      <c r="I84" s="30"/>
      <c r="J84" s="30"/>
      <c r="K84" s="30"/>
      <c r="L84" s="31"/>
    </row>
    <row r="85" spans="1:12">
      <c r="A85" s="30"/>
      <c r="B85" s="30"/>
      <c r="C85" s="30"/>
      <c r="D85" s="30"/>
      <c r="E85" s="30"/>
      <c r="F85" s="30"/>
      <c r="G85" s="30"/>
      <c r="H85" s="30"/>
      <c r="I85" s="30"/>
      <c r="J85" s="30"/>
      <c r="K85" s="30"/>
      <c r="L85" s="31"/>
    </row>
    <row r="86" spans="1:12">
      <c r="A86" s="30"/>
      <c r="B86" s="30"/>
      <c r="C86" s="30"/>
      <c r="D86" s="30"/>
      <c r="E86" s="30"/>
      <c r="F86" s="30"/>
      <c r="G86" s="30"/>
      <c r="H86" s="30"/>
      <c r="I86" s="30"/>
      <c r="J86" s="30"/>
      <c r="K86" s="30"/>
      <c r="L86" s="31"/>
    </row>
    <row r="87" spans="1:12">
      <c r="A87" s="30"/>
      <c r="B87" s="30"/>
      <c r="C87" s="30"/>
      <c r="D87" s="30"/>
      <c r="E87" s="30"/>
      <c r="F87" s="30"/>
      <c r="G87" s="30"/>
      <c r="H87" s="30"/>
      <c r="I87" s="30"/>
      <c r="J87" s="30"/>
      <c r="K87" s="30"/>
      <c r="L87" s="31"/>
    </row>
    <row r="88" spans="1:12">
      <c r="A88" s="30"/>
      <c r="B88" s="30"/>
      <c r="C88" s="30"/>
      <c r="D88" s="30"/>
      <c r="E88" s="30"/>
      <c r="F88" s="30"/>
      <c r="G88" s="30"/>
      <c r="H88" s="30"/>
      <c r="I88" s="30"/>
      <c r="J88" s="30"/>
      <c r="K88" s="30"/>
      <c r="L88" s="31"/>
    </row>
    <row r="89" spans="1:12">
      <c r="A89" s="30"/>
      <c r="B89" s="30"/>
      <c r="C89" s="30"/>
      <c r="D89" s="30"/>
      <c r="E89" s="30"/>
      <c r="F89" s="30"/>
      <c r="G89" s="30"/>
      <c r="H89" s="30"/>
      <c r="I89" s="30"/>
      <c r="J89" s="30"/>
      <c r="K89" s="30"/>
      <c r="L89" s="31"/>
    </row>
    <row r="90" spans="1:12">
      <c r="A90" s="30"/>
      <c r="B90" s="30"/>
      <c r="C90" s="30"/>
      <c r="D90" s="30"/>
      <c r="E90" s="30"/>
      <c r="F90" s="30"/>
      <c r="G90" s="30"/>
      <c r="H90" s="30"/>
      <c r="I90" s="30"/>
      <c r="J90" s="30"/>
      <c r="K90" s="30"/>
      <c r="L90" s="31"/>
    </row>
    <row r="91" spans="1:12">
      <c r="A91" s="30"/>
      <c r="B91" s="30"/>
      <c r="C91" s="30"/>
      <c r="D91" s="30"/>
      <c r="E91" s="30"/>
      <c r="F91" s="30"/>
      <c r="G91" s="30"/>
      <c r="H91" s="30"/>
      <c r="I91" s="30"/>
      <c r="J91" s="30"/>
      <c r="K91" s="30"/>
      <c r="L91" s="31"/>
    </row>
    <row r="92" spans="1:12">
      <c r="A92" s="30"/>
      <c r="B92" s="30"/>
      <c r="C92" s="30"/>
      <c r="D92" s="30"/>
      <c r="E92" s="30"/>
      <c r="F92" s="30"/>
      <c r="G92" s="30"/>
      <c r="H92" s="30"/>
      <c r="I92" s="30"/>
      <c r="J92" s="30"/>
      <c r="K92" s="30"/>
      <c r="L92" s="31"/>
    </row>
    <row r="93" spans="1:12">
      <c r="A93" s="30"/>
      <c r="B93" s="30"/>
      <c r="C93" s="30"/>
      <c r="D93" s="30"/>
      <c r="E93" s="30"/>
      <c r="F93" s="30"/>
      <c r="G93" s="30"/>
      <c r="H93" s="30"/>
      <c r="I93" s="30"/>
      <c r="J93" s="30"/>
      <c r="K93" s="30"/>
      <c r="L93" s="31"/>
    </row>
    <row r="94" spans="1:12">
      <c r="A94" s="30"/>
      <c r="B94" s="30"/>
      <c r="C94" s="30"/>
      <c r="D94" s="30"/>
      <c r="E94" s="30"/>
      <c r="F94" s="30"/>
      <c r="G94" s="30"/>
      <c r="H94" s="30"/>
      <c r="I94" s="30"/>
      <c r="J94" s="30"/>
      <c r="K94" s="30"/>
      <c r="L94" s="31"/>
    </row>
    <row r="95" spans="1:12">
      <c r="A95" s="30"/>
      <c r="B95" s="30"/>
      <c r="C95" s="30"/>
      <c r="D95" s="30"/>
      <c r="E95" s="30"/>
      <c r="F95" s="30"/>
      <c r="G95" s="30"/>
      <c r="H95" s="30"/>
      <c r="I95" s="30"/>
      <c r="J95" s="30"/>
      <c r="K95" s="30"/>
      <c r="L95" s="31"/>
    </row>
    <row r="96" spans="1:12">
      <c r="A96" s="30"/>
      <c r="B96" s="30"/>
      <c r="C96" s="30"/>
      <c r="D96" s="30"/>
      <c r="E96" s="30"/>
      <c r="F96" s="30"/>
      <c r="G96" s="30"/>
      <c r="H96" s="30"/>
      <c r="I96" s="30"/>
      <c r="J96" s="30"/>
      <c r="K96" s="30"/>
      <c r="L96" s="31"/>
    </row>
    <row r="97" spans="1:12">
      <c r="A97" s="30"/>
      <c r="B97" s="30"/>
      <c r="C97" s="30"/>
      <c r="D97" s="30"/>
      <c r="E97" s="30"/>
      <c r="F97" s="30"/>
      <c r="G97" s="30"/>
      <c r="H97" s="30"/>
      <c r="I97" s="30"/>
      <c r="J97" s="30"/>
      <c r="K97" s="30"/>
      <c r="L97" s="31"/>
    </row>
    <row r="98" spans="1:12">
      <c r="A98" s="30"/>
      <c r="B98" s="30"/>
      <c r="C98" s="30"/>
      <c r="D98" s="30"/>
      <c r="E98" s="30"/>
      <c r="F98" s="30"/>
      <c r="G98" s="30"/>
      <c r="H98" s="30"/>
      <c r="I98" s="30"/>
      <c r="J98" s="30"/>
      <c r="K98" s="30"/>
      <c r="L98" s="31"/>
    </row>
    <row r="99" spans="1:12">
      <c r="A99" s="30"/>
      <c r="B99" s="30"/>
      <c r="C99" s="30"/>
      <c r="D99" s="30"/>
      <c r="E99" s="30"/>
      <c r="F99" s="30"/>
      <c r="G99" s="30"/>
      <c r="H99" s="30"/>
      <c r="I99" s="30"/>
      <c r="J99" s="30"/>
      <c r="K99" s="30"/>
      <c r="L99" s="31"/>
    </row>
    <row r="100" spans="1:12">
      <c r="A100" s="30"/>
      <c r="B100" s="30"/>
      <c r="C100" s="30"/>
      <c r="D100" s="30"/>
      <c r="E100" s="30"/>
      <c r="F100" s="30"/>
      <c r="G100" s="30"/>
      <c r="H100" s="30"/>
      <c r="I100" s="30"/>
      <c r="J100" s="30"/>
      <c r="K100" s="30"/>
      <c r="L100" s="31"/>
    </row>
    <row r="101" spans="1:12">
      <c r="A101" s="30"/>
      <c r="B101" s="30"/>
      <c r="C101" s="30"/>
      <c r="D101" s="30"/>
      <c r="E101" s="30"/>
      <c r="F101" s="30"/>
      <c r="G101" s="30"/>
      <c r="H101" s="30"/>
      <c r="I101" s="30"/>
      <c r="J101" s="30"/>
      <c r="K101" s="30"/>
      <c r="L101" s="31"/>
    </row>
    <row r="102" spans="1:12">
      <c r="A102" s="30"/>
      <c r="B102" s="30"/>
      <c r="C102" s="30"/>
      <c r="D102" s="30"/>
      <c r="E102" s="30"/>
      <c r="F102" s="30"/>
      <c r="G102" s="30"/>
      <c r="H102" s="30"/>
      <c r="I102" s="30"/>
      <c r="J102" s="30"/>
      <c r="K102" s="30"/>
      <c r="L102" s="31"/>
    </row>
    <row r="103" spans="1:12">
      <c r="A103" s="30"/>
      <c r="B103" s="30"/>
      <c r="C103" s="30"/>
      <c r="D103" s="30"/>
      <c r="E103" s="30"/>
      <c r="F103" s="30"/>
      <c r="G103" s="30"/>
      <c r="H103" s="30"/>
      <c r="I103" s="30"/>
      <c r="J103" s="30"/>
      <c r="K103" s="30"/>
      <c r="L103" s="31"/>
    </row>
    <row r="104" spans="1:12">
      <c r="A104" s="30"/>
      <c r="B104" s="30"/>
      <c r="C104" s="30"/>
      <c r="D104" s="30"/>
      <c r="E104" s="30"/>
      <c r="F104" s="30"/>
      <c r="G104" s="30"/>
      <c r="H104" s="30"/>
      <c r="I104" s="30"/>
      <c r="J104" s="30"/>
      <c r="K104" s="30"/>
      <c r="L104" s="31"/>
    </row>
    <row r="105" spans="1:12">
      <c r="A105" s="30"/>
      <c r="B105" s="30"/>
      <c r="C105" s="30"/>
      <c r="D105" s="30"/>
      <c r="E105" s="30"/>
      <c r="F105" s="30"/>
      <c r="G105" s="30"/>
      <c r="H105" s="30"/>
      <c r="I105" s="30"/>
      <c r="J105" s="30"/>
      <c r="K105" s="30"/>
      <c r="L105" s="31"/>
    </row>
    <row r="106" spans="1:12">
      <c r="A106" s="30"/>
      <c r="B106" s="30"/>
      <c r="C106" s="30"/>
      <c r="D106" s="30"/>
      <c r="E106" s="30"/>
      <c r="F106" s="30"/>
      <c r="G106" s="30"/>
      <c r="H106" s="30"/>
      <c r="I106" s="30"/>
      <c r="J106" s="30"/>
      <c r="K106" s="30"/>
      <c r="L106" s="31"/>
    </row>
    <row r="107" spans="1:12">
      <c r="A107" s="30"/>
      <c r="B107" s="30"/>
      <c r="C107" s="30"/>
      <c r="D107" s="30"/>
      <c r="E107" s="30"/>
      <c r="F107" s="30"/>
      <c r="G107" s="30"/>
      <c r="H107" s="30"/>
      <c r="I107" s="30"/>
      <c r="J107" s="30"/>
      <c r="K107" s="30"/>
      <c r="L107" s="31"/>
    </row>
    <row r="108" spans="1:12">
      <c r="A108" s="30"/>
      <c r="B108" s="30"/>
      <c r="C108" s="30"/>
      <c r="D108" s="30"/>
      <c r="E108" s="30"/>
      <c r="F108" s="30"/>
      <c r="G108" s="30"/>
      <c r="H108" s="30"/>
      <c r="I108" s="30"/>
      <c r="J108" s="30"/>
      <c r="K108" s="30"/>
      <c r="L108" s="31"/>
    </row>
    <row r="109" spans="1:12">
      <c r="A109" s="30"/>
      <c r="B109" s="30"/>
      <c r="C109" s="30"/>
      <c r="D109" s="30"/>
      <c r="E109" s="30"/>
      <c r="F109" s="30"/>
      <c r="G109" s="30"/>
      <c r="H109" s="30"/>
      <c r="I109" s="30"/>
      <c r="J109" s="30"/>
      <c r="K109" s="30"/>
      <c r="L109" s="31"/>
    </row>
    <row r="110" spans="1:12">
      <c r="A110" s="30"/>
      <c r="B110" s="30"/>
      <c r="C110" s="30"/>
      <c r="D110" s="30"/>
      <c r="E110" s="30"/>
      <c r="F110" s="30"/>
      <c r="G110" s="30"/>
      <c r="H110" s="30"/>
      <c r="I110" s="30"/>
      <c r="J110" s="30"/>
      <c r="K110" s="30"/>
      <c r="L110" s="31"/>
    </row>
    <row r="111" spans="1:12">
      <c r="A111" s="30"/>
      <c r="B111" s="30"/>
      <c r="C111" s="30"/>
      <c r="D111" s="30"/>
      <c r="E111" s="30"/>
      <c r="F111" s="30"/>
      <c r="G111" s="30"/>
      <c r="H111" s="30"/>
      <c r="I111" s="30"/>
      <c r="J111" s="30"/>
      <c r="K111" s="30"/>
      <c r="L111" s="31"/>
    </row>
    <row r="112" spans="1:12">
      <c r="A112" s="30"/>
      <c r="B112" s="30"/>
      <c r="C112" s="30"/>
      <c r="D112" s="30"/>
      <c r="E112" s="30"/>
      <c r="F112" s="30"/>
      <c r="G112" s="30"/>
      <c r="H112" s="30"/>
      <c r="I112" s="30"/>
      <c r="J112" s="30"/>
      <c r="K112" s="30"/>
      <c r="L112" s="31"/>
    </row>
    <row r="113" spans="1:12">
      <c r="A113" s="30"/>
      <c r="B113" s="30"/>
      <c r="C113" s="30"/>
      <c r="D113" s="30"/>
      <c r="E113" s="30"/>
      <c r="F113" s="30"/>
      <c r="G113" s="30"/>
      <c r="H113" s="30"/>
      <c r="I113" s="30"/>
      <c r="J113" s="30"/>
      <c r="K113" s="30"/>
      <c r="L113" s="31"/>
    </row>
    <row r="114" spans="1:12">
      <c r="A114" s="30"/>
      <c r="B114" s="30"/>
      <c r="C114" s="30"/>
      <c r="D114" s="30"/>
      <c r="E114" s="30"/>
      <c r="F114" s="30"/>
      <c r="G114" s="30"/>
      <c r="H114" s="30"/>
      <c r="I114" s="30"/>
      <c r="J114" s="30"/>
      <c r="K114" s="30"/>
      <c r="L114" s="31"/>
    </row>
    <row r="115" spans="1:12">
      <c r="A115" s="30"/>
      <c r="B115" s="30"/>
      <c r="C115" s="30"/>
      <c r="D115" s="30"/>
      <c r="E115" s="30"/>
      <c r="F115" s="30"/>
      <c r="G115" s="30"/>
      <c r="H115" s="30"/>
      <c r="I115" s="30"/>
      <c r="J115" s="30"/>
      <c r="K115" s="30"/>
      <c r="L115" s="31"/>
    </row>
    <row r="116" spans="1:12">
      <c r="A116" s="30"/>
      <c r="B116" s="30"/>
      <c r="C116" s="30"/>
      <c r="D116" s="30"/>
      <c r="E116" s="30"/>
      <c r="F116" s="30"/>
      <c r="G116" s="30"/>
      <c r="H116" s="30"/>
      <c r="I116" s="30"/>
      <c r="J116" s="30"/>
      <c r="K116" s="30"/>
      <c r="L116" s="31"/>
    </row>
    <row r="117" spans="1:12">
      <c r="A117" s="30"/>
      <c r="B117" s="30"/>
      <c r="C117" s="30"/>
      <c r="D117" s="30"/>
      <c r="E117" s="30"/>
      <c r="F117" s="30"/>
      <c r="G117" s="30"/>
      <c r="H117" s="30"/>
      <c r="I117" s="30"/>
      <c r="J117" s="30"/>
      <c r="K117" s="30"/>
      <c r="L117" s="31"/>
    </row>
    <row r="118" spans="1:12">
      <c r="A118" s="30"/>
      <c r="B118" s="30"/>
      <c r="C118" s="30"/>
      <c r="D118" s="30"/>
      <c r="E118" s="30"/>
      <c r="F118" s="30"/>
      <c r="G118" s="30"/>
      <c r="H118" s="30"/>
      <c r="I118" s="30"/>
      <c r="J118" s="30"/>
      <c r="K118" s="30"/>
      <c r="L118" s="31"/>
    </row>
    <row r="119" spans="1:12">
      <c r="A119" s="30"/>
      <c r="B119" s="30"/>
      <c r="C119" s="30"/>
      <c r="D119" s="30"/>
      <c r="E119" s="30"/>
      <c r="F119" s="30"/>
      <c r="G119" s="30"/>
      <c r="H119" s="30"/>
      <c r="I119" s="30"/>
      <c r="J119" s="30"/>
      <c r="K119" s="30"/>
      <c r="L119" s="31"/>
    </row>
    <row r="120" spans="1:12">
      <c r="A120" s="30"/>
      <c r="B120" s="30"/>
      <c r="C120" s="30"/>
      <c r="D120" s="30"/>
      <c r="E120" s="30"/>
      <c r="F120" s="30"/>
      <c r="G120" s="30"/>
      <c r="H120" s="30"/>
      <c r="I120" s="30"/>
      <c r="J120" s="30"/>
      <c r="K120" s="30"/>
      <c r="L120" s="31"/>
    </row>
    <row r="121" spans="1:12">
      <c r="A121" s="30"/>
      <c r="B121" s="30"/>
      <c r="C121" s="30"/>
      <c r="D121" s="30"/>
      <c r="E121" s="30"/>
      <c r="F121" s="30"/>
      <c r="G121" s="30"/>
      <c r="H121" s="30"/>
      <c r="I121" s="30"/>
      <c r="J121" s="30"/>
      <c r="K121" s="30"/>
      <c r="L121" s="31"/>
    </row>
    <row r="122" spans="1:12">
      <c r="A122" s="30"/>
      <c r="B122" s="30"/>
      <c r="C122" s="30"/>
      <c r="D122" s="30"/>
      <c r="E122" s="30"/>
      <c r="F122" s="30"/>
      <c r="G122" s="30"/>
      <c r="H122" s="30"/>
      <c r="I122" s="30"/>
      <c r="J122" s="30"/>
      <c r="K122" s="30"/>
      <c r="L122" s="31"/>
    </row>
    <row r="123" spans="1:12">
      <c r="A123" s="30"/>
      <c r="B123" s="30"/>
      <c r="C123" s="30"/>
      <c r="D123" s="30"/>
      <c r="E123" s="30"/>
      <c r="F123" s="30"/>
      <c r="G123" s="30"/>
      <c r="H123" s="30"/>
      <c r="I123" s="30"/>
      <c r="J123" s="30"/>
      <c r="K123" s="30"/>
      <c r="L123" s="31"/>
    </row>
    <row r="124" spans="1:12">
      <c r="A124" s="30"/>
      <c r="B124" s="30"/>
      <c r="C124" s="30"/>
      <c r="D124" s="30"/>
      <c r="E124" s="30"/>
      <c r="F124" s="30"/>
      <c r="G124" s="30"/>
      <c r="H124" s="30"/>
      <c r="I124" s="30"/>
      <c r="J124" s="30"/>
      <c r="K124" s="30"/>
      <c r="L124" s="31"/>
    </row>
    <row r="125" spans="1:12">
      <c r="A125" s="30"/>
      <c r="B125" s="30"/>
      <c r="C125" s="30"/>
      <c r="D125" s="30"/>
      <c r="E125" s="30"/>
      <c r="F125" s="30"/>
      <c r="G125" s="30"/>
      <c r="H125" s="30"/>
      <c r="I125" s="30"/>
      <c r="J125" s="30"/>
      <c r="K125" s="30"/>
      <c r="L125" s="31"/>
    </row>
    <row r="126" spans="1:12">
      <c r="A126" s="30"/>
      <c r="B126" s="30"/>
      <c r="C126" s="30"/>
      <c r="D126" s="30"/>
      <c r="E126" s="30"/>
      <c r="F126" s="30"/>
      <c r="G126" s="30"/>
      <c r="H126" s="30"/>
      <c r="I126" s="30"/>
      <c r="J126" s="30"/>
      <c r="K126" s="30"/>
      <c r="L126" s="31"/>
    </row>
    <row r="127" spans="1:12">
      <c r="A127" s="30"/>
      <c r="B127" s="30"/>
      <c r="C127" s="30"/>
      <c r="D127" s="30"/>
      <c r="E127" s="30"/>
      <c r="F127" s="30"/>
      <c r="G127" s="30"/>
      <c r="H127" s="30"/>
      <c r="I127" s="30"/>
      <c r="J127" s="30"/>
      <c r="K127" s="30"/>
      <c r="L127" s="31"/>
    </row>
    <row r="128" spans="1:12">
      <c r="A128" s="30"/>
      <c r="B128" s="30"/>
      <c r="C128" s="30"/>
      <c r="D128" s="30"/>
      <c r="E128" s="30"/>
      <c r="F128" s="30"/>
      <c r="G128" s="30"/>
      <c r="H128" s="30"/>
      <c r="I128" s="30"/>
      <c r="J128" s="30"/>
      <c r="K128" s="30"/>
      <c r="L128" s="31"/>
    </row>
    <row r="129" spans="1:12">
      <c r="A129" s="30"/>
      <c r="B129" s="30"/>
      <c r="C129" s="30"/>
      <c r="D129" s="30"/>
      <c r="E129" s="30"/>
      <c r="F129" s="30"/>
      <c r="G129" s="30"/>
      <c r="H129" s="30"/>
      <c r="I129" s="30"/>
      <c r="J129" s="30"/>
      <c r="K129" s="30"/>
      <c r="L129" s="31"/>
    </row>
    <row r="130" spans="1:12">
      <c r="A130" s="30"/>
      <c r="B130" s="30"/>
      <c r="C130" s="30"/>
      <c r="D130" s="30"/>
      <c r="E130" s="30"/>
      <c r="F130" s="30"/>
      <c r="G130" s="30"/>
      <c r="H130" s="30"/>
      <c r="I130" s="30"/>
      <c r="J130" s="30"/>
      <c r="K130" s="30"/>
      <c r="L130" s="31"/>
    </row>
    <row r="131" spans="1:12">
      <c r="A131" s="30"/>
      <c r="B131" s="30"/>
      <c r="C131" s="30"/>
      <c r="D131" s="30"/>
      <c r="E131" s="30"/>
      <c r="F131" s="30"/>
      <c r="G131" s="30"/>
      <c r="H131" s="30"/>
      <c r="I131" s="30"/>
      <c r="J131" s="30"/>
      <c r="K131" s="30"/>
      <c r="L131" s="31"/>
    </row>
    <row r="132" spans="1:12">
      <c r="A132" s="30"/>
      <c r="B132" s="30"/>
      <c r="C132" s="30"/>
      <c r="D132" s="30"/>
      <c r="E132" s="30"/>
      <c r="F132" s="30"/>
      <c r="G132" s="30"/>
      <c r="H132" s="30"/>
      <c r="I132" s="30"/>
      <c r="J132" s="30"/>
      <c r="K132" s="30"/>
      <c r="L132" s="31"/>
    </row>
    <row r="133" spans="1:12">
      <c r="A133" s="30"/>
      <c r="B133" s="30"/>
      <c r="C133" s="30"/>
      <c r="D133" s="30"/>
      <c r="E133" s="30"/>
      <c r="F133" s="30"/>
      <c r="G133" s="30"/>
      <c r="H133" s="30"/>
      <c r="I133" s="30"/>
      <c r="J133" s="30"/>
      <c r="K133" s="30"/>
      <c r="L133" s="31"/>
    </row>
    <row r="134" spans="1:12">
      <c r="A134" s="30"/>
      <c r="B134" s="30"/>
      <c r="C134" s="30"/>
      <c r="D134" s="30"/>
      <c r="E134" s="30"/>
      <c r="F134" s="30"/>
      <c r="G134" s="30"/>
      <c r="H134" s="30"/>
      <c r="I134" s="30"/>
      <c r="J134" s="30"/>
      <c r="K134" s="30"/>
      <c r="L134" s="31"/>
    </row>
    <row r="135" spans="1:12">
      <c r="A135" s="30"/>
      <c r="B135" s="30"/>
      <c r="C135" s="30"/>
      <c r="D135" s="30"/>
      <c r="E135" s="30"/>
      <c r="F135" s="30"/>
      <c r="G135" s="30"/>
      <c r="H135" s="30"/>
      <c r="I135" s="30"/>
      <c r="J135" s="30"/>
      <c r="K135" s="30"/>
      <c r="L135" s="31"/>
    </row>
    <row r="136" spans="1:12">
      <c r="A136" s="30"/>
      <c r="B136" s="30"/>
      <c r="C136" s="30"/>
      <c r="D136" s="30"/>
      <c r="E136" s="30"/>
      <c r="F136" s="30"/>
      <c r="G136" s="30"/>
      <c r="H136" s="30"/>
      <c r="I136" s="30"/>
      <c r="J136" s="30"/>
      <c r="K136" s="30"/>
      <c r="L136" s="31"/>
    </row>
    <row r="137" spans="1:12">
      <c r="A137" s="30"/>
      <c r="B137" s="30"/>
      <c r="C137" s="30"/>
      <c r="D137" s="30"/>
      <c r="E137" s="30"/>
      <c r="F137" s="30"/>
      <c r="G137" s="30"/>
      <c r="H137" s="30"/>
      <c r="I137" s="30"/>
      <c r="J137" s="30"/>
      <c r="K137" s="30"/>
      <c r="L137" s="31"/>
    </row>
    <row r="138" spans="1:12">
      <c r="A138" s="30"/>
      <c r="B138" s="30"/>
      <c r="C138" s="30"/>
      <c r="D138" s="30"/>
      <c r="E138" s="30"/>
      <c r="F138" s="30"/>
      <c r="G138" s="30"/>
      <c r="H138" s="30"/>
      <c r="I138" s="30"/>
      <c r="J138" s="30"/>
      <c r="K138" s="30"/>
      <c r="L138" s="31"/>
    </row>
    <row r="139" spans="1:12">
      <c r="A139" s="30"/>
      <c r="B139" s="30"/>
      <c r="C139" s="30"/>
      <c r="D139" s="30"/>
      <c r="E139" s="30"/>
      <c r="F139" s="30"/>
      <c r="G139" s="30"/>
      <c r="H139" s="30"/>
      <c r="I139" s="30"/>
      <c r="J139" s="30"/>
      <c r="K139" s="30"/>
      <c r="L139" s="31"/>
    </row>
    <row r="140" spans="1:12">
      <c r="A140" s="30"/>
      <c r="B140" s="30"/>
      <c r="C140" s="30"/>
      <c r="D140" s="30"/>
      <c r="E140" s="30"/>
      <c r="F140" s="30"/>
      <c r="G140" s="30"/>
      <c r="H140" s="30"/>
      <c r="I140" s="30"/>
      <c r="J140" s="30"/>
      <c r="K140" s="30"/>
      <c r="L140" s="31"/>
    </row>
    <row r="141" spans="1:12">
      <c r="A141" s="30"/>
      <c r="B141" s="30"/>
      <c r="C141" s="30"/>
      <c r="D141" s="30"/>
      <c r="E141" s="30"/>
      <c r="F141" s="30"/>
      <c r="G141" s="30"/>
      <c r="H141" s="30"/>
      <c r="I141" s="30"/>
      <c r="J141" s="30"/>
      <c r="K141" s="30"/>
      <c r="L141" s="31"/>
    </row>
    <row r="142" spans="1:12">
      <c r="A142" s="30"/>
      <c r="B142" s="30"/>
      <c r="C142" s="30"/>
      <c r="D142" s="30"/>
      <c r="E142" s="30"/>
      <c r="F142" s="30"/>
      <c r="G142" s="30"/>
      <c r="H142" s="30"/>
      <c r="I142" s="30"/>
      <c r="J142" s="30"/>
      <c r="K142" s="30"/>
      <c r="L142" s="31"/>
    </row>
    <row r="143" spans="1:12">
      <c r="A143" s="30"/>
      <c r="B143" s="30"/>
      <c r="C143" s="30"/>
      <c r="D143" s="30"/>
      <c r="E143" s="30"/>
      <c r="F143" s="30"/>
      <c r="G143" s="30"/>
      <c r="H143" s="30"/>
      <c r="I143" s="30"/>
      <c r="J143" s="30"/>
      <c r="K143" s="30"/>
      <c r="L143" s="31"/>
    </row>
    <row r="144" spans="1:12">
      <c r="A144" s="30"/>
      <c r="B144" s="30"/>
      <c r="C144" s="30"/>
      <c r="D144" s="30"/>
      <c r="E144" s="30"/>
      <c r="F144" s="30"/>
      <c r="G144" s="30"/>
      <c r="H144" s="30"/>
      <c r="I144" s="30"/>
      <c r="J144" s="30"/>
      <c r="K144" s="30"/>
      <c r="L144" s="31"/>
    </row>
    <row r="145" spans="1:12">
      <c r="A145" s="30"/>
      <c r="B145" s="30"/>
      <c r="C145" s="30"/>
      <c r="D145" s="30"/>
      <c r="E145" s="30"/>
      <c r="F145" s="30"/>
      <c r="G145" s="30"/>
      <c r="H145" s="30"/>
      <c r="I145" s="30"/>
      <c r="J145" s="30"/>
      <c r="K145" s="30"/>
      <c r="L145" s="31"/>
    </row>
    <row r="146" spans="1:12">
      <c r="A146" s="30"/>
      <c r="B146" s="30"/>
      <c r="C146" s="30"/>
      <c r="D146" s="30"/>
      <c r="E146" s="30"/>
      <c r="F146" s="30"/>
      <c r="G146" s="30"/>
      <c r="H146" s="30"/>
      <c r="I146" s="30"/>
      <c r="J146" s="30"/>
      <c r="K146" s="30"/>
      <c r="L146" s="31"/>
    </row>
    <row r="147" spans="1:12">
      <c r="A147" s="30"/>
      <c r="B147" s="30"/>
      <c r="C147" s="30"/>
      <c r="D147" s="30"/>
      <c r="E147" s="30"/>
      <c r="F147" s="30"/>
      <c r="G147" s="30"/>
      <c r="H147" s="30"/>
      <c r="I147" s="30"/>
      <c r="J147" s="30"/>
      <c r="K147" s="30"/>
      <c r="L147" s="31"/>
    </row>
    <row r="148" spans="1:12">
      <c r="A148" s="30"/>
      <c r="B148" s="30"/>
      <c r="C148" s="30"/>
      <c r="D148" s="30"/>
      <c r="E148" s="30"/>
      <c r="F148" s="30"/>
      <c r="G148" s="30"/>
      <c r="H148" s="30"/>
      <c r="I148" s="30"/>
      <c r="J148" s="30"/>
      <c r="K148" s="30"/>
      <c r="L148" s="31"/>
    </row>
    <row r="149" spans="1:12">
      <c r="A149" s="30"/>
      <c r="B149" s="30"/>
      <c r="C149" s="30"/>
      <c r="D149" s="30"/>
      <c r="E149" s="30"/>
      <c r="F149" s="30"/>
      <c r="G149" s="30"/>
      <c r="H149" s="30"/>
      <c r="I149" s="30"/>
      <c r="J149" s="30"/>
      <c r="K149" s="30"/>
      <c r="L149" s="31"/>
    </row>
    <row r="150" spans="1:12">
      <c r="A150" s="30"/>
      <c r="B150" s="30"/>
      <c r="C150" s="30"/>
      <c r="D150" s="30"/>
      <c r="E150" s="30"/>
      <c r="F150" s="30"/>
      <c r="G150" s="30"/>
      <c r="H150" s="30"/>
      <c r="I150" s="30"/>
      <c r="J150" s="30"/>
      <c r="K150" s="30"/>
      <c r="L150" s="31"/>
    </row>
    <row r="151" spans="1:12">
      <c r="A151" s="30"/>
      <c r="B151" s="30"/>
      <c r="C151" s="30"/>
      <c r="D151" s="30"/>
      <c r="E151" s="30"/>
      <c r="F151" s="30"/>
      <c r="G151" s="30"/>
      <c r="H151" s="30"/>
      <c r="I151" s="30"/>
      <c r="J151" s="30"/>
      <c r="K151" s="30"/>
      <c r="L151" s="31"/>
    </row>
    <row r="152" spans="1:12">
      <c r="A152" s="30"/>
      <c r="B152" s="30"/>
      <c r="C152" s="30"/>
      <c r="D152" s="30"/>
      <c r="E152" s="30"/>
      <c r="F152" s="30"/>
      <c r="G152" s="30"/>
      <c r="H152" s="30"/>
      <c r="I152" s="30"/>
      <c r="J152" s="30"/>
      <c r="K152" s="30"/>
      <c r="L152" s="31"/>
    </row>
    <row r="153" spans="1:12">
      <c r="A153" s="30"/>
      <c r="B153" s="30"/>
      <c r="C153" s="30"/>
      <c r="D153" s="30"/>
      <c r="E153" s="30"/>
      <c r="F153" s="30"/>
      <c r="G153" s="30"/>
      <c r="H153" s="30"/>
      <c r="I153" s="30"/>
      <c r="J153" s="30"/>
      <c r="K153" s="30"/>
      <c r="L153" s="31"/>
    </row>
    <row r="154" spans="1:12">
      <c r="A154" s="30"/>
      <c r="B154" s="30"/>
      <c r="C154" s="30"/>
      <c r="D154" s="30"/>
      <c r="E154" s="30"/>
      <c r="F154" s="30"/>
      <c r="G154" s="30"/>
      <c r="H154" s="30"/>
      <c r="I154" s="30"/>
      <c r="J154" s="30"/>
      <c r="K154" s="30"/>
      <c r="L154" s="31"/>
    </row>
    <row r="155" spans="1:12">
      <c r="A155" s="30"/>
      <c r="B155" s="30"/>
      <c r="C155" s="30"/>
      <c r="D155" s="30"/>
      <c r="E155" s="30"/>
      <c r="F155" s="30"/>
      <c r="G155" s="30"/>
      <c r="H155" s="30"/>
      <c r="I155" s="30"/>
      <c r="J155" s="30"/>
      <c r="K155" s="30"/>
      <c r="L155" s="31"/>
    </row>
    <row r="156" spans="1:12">
      <c r="A156" s="30"/>
      <c r="B156" s="30"/>
      <c r="C156" s="30"/>
      <c r="D156" s="30"/>
      <c r="E156" s="30"/>
      <c r="F156" s="30"/>
      <c r="G156" s="30"/>
      <c r="H156" s="30"/>
      <c r="I156" s="30"/>
      <c r="J156" s="30"/>
      <c r="K156" s="30"/>
      <c r="L156" s="31"/>
    </row>
    <row r="157" spans="1:12">
      <c r="A157" s="30"/>
      <c r="B157" s="30"/>
      <c r="C157" s="30"/>
      <c r="D157" s="30"/>
      <c r="E157" s="30"/>
      <c r="F157" s="30"/>
      <c r="G157" s="30"/>
      <c r="H157" s="30"/>
      <c r="I157" s="30"/>
      <c r="J157" s="30"/>
      <c r="K157" s="30"/>
      <c r="L157" s="31"/>
    </row>
    <row r="158" spans="1:12">
      <c r="A158" s="30"/>
      <c r="B158" s="30"/>
      <c r="C158" s="30"/>
      <c r="D158" s="30"/>
      <c r="E158" s="30"/>
      <c r="F158" s="30"/>
      <c r="G158" s="30"/>
      <c r="H158" s="30"/>
      <c r="I158" s="30"/>
      <c r="J158" s="30"/>
      <c r="K158" s="30"/>
      <c r="L158" s="31"/>
    </row>
    <row r="159" spans="1:12">
      <c r="A159" s="30"/>
      <c r="B159" s="30"/>
      <c r="C159" s="30"/>
      <c r="D159" s="30"/>
      <c r="E159" s="30"/>
      <c r="F159" s="30"/>
      <c r="G159" s="30"/>
      <c r="H159" s="30"/>
      <c r="I159" s="30"/>
      <c r="J159" s="30"/>
      <c r="K159" s="30"/>
      <c r="L159" s="31"/>
    </row>
    <row r="160" spans="1:12">
      <c r="A160" s="30"/>
      <c r="B160" s="30"/>
      <c r="C160" s="30"/>
      <c r="D160" s="30"/>
      <c r="E160" s="30"/>
      <c r="F160" s="30"/>
      <c r="G160" s="30"/>
      <c r="H160" s="30"/>
      <c r="I160" s="30"/>
      <c r="J160" s="30"/>
      <c r="K160" s="30"/>
      <c r="L160" s="31"/>
    </row>
    <row r="161" spans="1:12">
      <c r="A161" s="30"/>
      <c r="B161" s="30"/>
      <c r="C161" s="30"/>
      <c r="D161" s="30"/>
      <c r="E161" s="30"/>
      <c r="F161" s="30"/>
      <c r="G161" s="30"/>
      <c r="H161" s="30"/>
      <c r="I161" s="30"/>
      <c r="J161" s="30"/>
      <c r="K161" s="30"/>
      <c r="L161" s="31"/>
    </row>
    <row r="162" spans="1:12">
      <c r="A162" s="30"/>
      <c r="B162" s="30"/>
      <c r="C162" s="30"/>
      <c r="D162" s="30"/>
      <c r="E162" s="30"/>
      <c r="F162" s="30"/>
      <c r="G162" s="30"/>
      <c r="H162" s="30"/>
      <c r="I162" s="30"/>
      <c r="J162" s="30"/>
      <c r="K162" s="30"/>
      <c r="L162" s="31"/>
    </row>
    <row r="163" spans="1:12">
      <c r="A163" s="30"/>
      <c r="B163" s="30"/>
      <c r="C163" s="30"/>
      <c r="D163" s="30"/>
      <c r="E163" s="30"/>
      <c r="F163" s="30"/>
      <c r="G163" s="30"/>
      <c r="H163" s="30"/>
      <c r="I163" s="30"/>
      <c r="J163" s="30"/>
      <c r="K163" s="30"/>
      <c r="L163" s="31"/>
    </row>
    <row r="164" spans="1:12">
      <c r="A164" s="30"/>
      <c r="B164" s="30"/>
      <c r="C164" s="30"/>
      <c r="D164" s="30"/>
      <c r="E164" s="30"/>
      <c r="F164" s="30"/>
      <c r="G164" s="30"/>
      <c r="H164" s="30"/>
      <c r="I164" s="30"/>
      <c r="J164" s="30"/>
      <c r="K164" s="30"/>
      <c r="L164" s="31"/>
    </row>
    <row r="165" spans="1:12">
      <c r="A165" s="30"/>
      <c r="B165" s="30"/>
      <c r="C165" s="30"/>
      <c r="D165" s="30"/>
      <c r="E165" s="30"/>
      <c r="F165" s="30"/>
      <c r="G165" s="30"/>
      <c r="H165" s="30"/>
      <c r="I165" s="30"/>
      <c r="J165" s="30"/>
      <c r="K165" s="30"/>
      <c r="L165" s="31"/>
    </row>
    <row r="166" spans="1:12">
      <c r="A166" s="30"/>
      <c r="B166" s="30"/>
      <c r="C166" s="30"/>
      <c r="D166" s="30"/>
      <c r="E166" s="30"/>
      <c r="F166" s="30"/>
      <c r="G166" s="30"/>
      <c r="H166" s="30"/>
      <c r="I166" s="30"/>
      <c r="J166" s="30"/>
      <c r="K166" s="30"/>
      <c r="L166" s="31"/>
    </row>
    <row r="167" spans="1:12">
      <c r="A167" s="30"/>
      <c r="B167" s="30"/>
      <c r="C167" s="30"/>
      <c r="D167" s="30"/>
      <c r="E167" s="30"/>
      <c r="F167" s="30"/>
      <c r="G167" s="30"/>
      <c r="H167" s="30"/>
      <c r="I167" s="30"/>
      <c r="J167" s="30"/>
      <c r="K167" s="30"/>
      <c r="L167" s="31"/>
    </row>
    <row r="168" spans="1:12">
      <c r="A168" s="30"/>
      <c r="B168" s="30"/>
      <c r="C168" s="30"/>
      <c r="D168" s="30"/>
      <c r="E168" s="30"/>
      <c r="F168" s="30"/>
      <c r="G168" s="30"/>
      <c r="H168" s="30"/>
      <c r="I168" s="30"/>
      <c r="J168" s="30"/>
      <c r="K168" s="30"/>
      <c r="L168" s="31"/>
    </row>
    <row r="169" spans="1:12">
      <c r="A169" s="30"/>
      <c r="B169" s="30"/>
      <c r="C169" s="30"/>
      <c r="D169" s="30"/>
      <c r="E169" s="30"/>
      <c r="F169" s="30"/>
      <c r="G169" s="30"/>
      <c r="H169" s="30"/>
      <c r="I169" s="30"/>
      <c r="J169" s="30"/>
      <c r="K169" s="30"/>
      <c r="L169" s="31"/>
    </row>
    <row r="170" spans="1:12">
      <c r="A170" s="30"/>
      <c r="B170" s="30"/>
      <c r="C170" s="30"/>
      <c r="D170" s="30"/>
      <c r="E170" s="30"/>
      <c r="F170" s="30"/>
      <c r="G170" s="30"/>
      <c r="H170" s="30"/>
      <c r="I170" s="30"/>
      <c r="J170" s="30"/>
      <c r="K170" s="30"/>
      <c r="L170" s="31"/>
    </row>
    <row r="171" spans="1:12">
      <c r="A171" s="30"/>
      <c r="B171" s="30"/>
      <c r="C171" s="30"/>
      <c r="D171" s="30"/>
      <c r="E171" s="30"/>
      <c r="F171" s="30"/>
      <c r="G171" s="30"/>
      <c r="H171" s="30"/>
      <c r="I171" s="30"/>
      <c r="J171" s="30"/>
      <c r="K171" s="30"/>
      <c r="L171" s="31"/>
    </row>
    <row r="172" spans="1:12">
      <c r="A172" s="30"/>
      <c r="B172" s="30"/>
      <c r="C172" s="30"/>
      <c r="D172" s="30"/>
      <c r="E172" s="30"/>
      <c r="F172" s="30"/>
      <c r="G172" s="30"/>
      <c r="H172" s="30"/>
      <c r="I172" s="30"/>
      <c r="J172" s="30"/>
      <c r="K172" s="30"/>
      <c r="L172" s="31"/>
    </row>
    <row r="173" spans="1:12">
      <c r="A173" s="30"/>
      <c r="B173" s="30"/>
      <c r="C173" s="30"/>
      <c r="D173" s="30"/>
      <c r="E173" s="30"/>
      <c r="F173" s="30"/>
      <c r="G173" s="30"/>
      <c r="H173" s="30"/>
      <c r="I173" s="30"/>
      <c r="J173" s="30"/>
      <c r="K173" s="30"/>
      <c r="L173" s="31"/>
    </row>
    <row r="174" spans="1:12">
      <c r="A174" s="30"/>
      <c r="B174" s="30"/>
      <c r="C174" s="30"/>
      <c r="D174" s="30"/>
      <c r="E174" s="30"/>
      <c r="F174" s="30"/>
      <c r="G174" s="30"/>
      <c r="H174" s="30"/>
      <c r="I174" s="30"/>
      <c r="J174" s="30"/>
      <c r="K174" s="30"/>
      <c r="L174" s="31"/>
    </row>
    <row r="175" spans="1:12">
      <c r="A175" s="30"/>
      <c r="B175" s="30"/>
      <c r="C175" s="30"/>
      <c r="D175" s="30"/>
      <c r="E175" s="30"/>
      <c r="F175" s="30"/>
      <c r="G175" s="30"/>
      <c r="H175" s="30"/>
      <c r="I175" s="30"/>
      <c r="J175" s="30"/>
      <c r="K175" s="30"/>
      <c r="L175" s="31"/>
    </row>
    <row r="176" spans="1:12">
      <c r="A176" s="30"/>
      <c r="B176" s="30"/>
      <c r="C176" s="30"/>
      <c r="D176" s="30"/>
      <c r="E176" s="30"/>
      <c r="F176" s="30"/>
      <c r="G176" s="30"/>
      <c r="H176" s="30"/>
      <c r="I176" s="30"/>
      <c r="J176" s="30"/>
      <c r="K176" s="30"/>
      <c r="L176" s="31"/>
    </row>
    <row r="177" spans="1:12">
      <c r="A177" s="30"/>
      <c r="B177" s="30"/>
      <c r="C177" s="30"/>
      <c r="D177" s="30"/>
      <c r="E177" s="30"/>
      <c r="F177" s="30"/>
      <c r="G177" s="30"/>
      <c r="H177" s="30"/>
      <c r="I177" s="30"/>
      <c r="J177" s="30"/>
      <c r="K177" s="30"/>
      <c r="L177" s="31"/>
    </row>
    <row r="178" spans="1:12">
      <c r="A178" s="30"/>
      <c r="B178" s="30"/>
      <c r="C178" s="30"/>
      <c r="D178" s="30"/>
      <c r="E178" s="30"/>
      <c r="F178" s="30"/>
      <c r="G178" s="30"/>
      <c r="H178" s="30"/>
      <c r="I178" s="30"/>
      <c r="J178" s="30"/>
      <c r="K178" s="30"/>
      <c r="L178" s="31"/>
    </row>
    <row r="179" spans="1:12">
      <c r="A179" s="30"/>
      <c r="B179" s="30"/>
      <c r="C179" s="30"/>
      <c r="D179" s="30"/>
      <c r="E179" s="30"/>
      <c r="F179" s="30"/>
      <c r="G179" s="30"/>
      <c r="H179" s="30"/>
      <c r="I179" s="30"/>
      <c r="J179" s="30"/>
      <c r="K179" s="30"/>
      <c r="L179" s="31"/>
    </row>
    <row r="180" spans="1:12">
      <c r="A180" s="30"/>
      <c r="B180" s="30"/>
      <c r="C180" s="30"/>
      <c r="D180" s="30"/>
      <c r="E180" s="30"/>
      <c r="F180" s="30"/>
      <c r="G180" s="30"/>
      <c r="H180" s="30"/>
      <c r="I180" s="30"/>
      <c r="J180" s="30"/>
      <c r="K180" s="30"/>
      <c r="L180" s="31"/>
    </row>
    <row r="181" spans="1:12">
      <c r="A181" s="30"/>
      <c r="B181" s="30"/>
      <c r="C181" s="30"/>
      <c r="D181" s="30"/>
      <c r="E181" s="30"/>
      <c r="F181" s="30"/>
      <c r="G181" s="30"/>
      <c r="H181" s="30"/>
      <c r="I181" s="30"/>
      <c r="J181" s="30"/>
      <c r="K181" s="30"/>
      <c r="L181" s="31"/>
    </row>
    <row r="182" spans="1:12">
      <c r="A182" s="30"/>
      <c r="B182" s="30"/>
      <c r="C182" s="30"/>
      <c r="D182" s="30"/>
      <c r="E182" s="30"/>
      <c r="F182" s="30"/>
      <c r="G182" s="30"/>
      <c r="H182" s="30"/>
      <c r="I182" s="30"/>
      <c r="J182" s="30"/>
      <c r="K182" s="30"/>
      <c r="L182" s="31"/>
    </row>
    <row r="183" spans="1:12">
      <c r="A183" s="30"/>
      <c r="B183" s="30"/>
      <c r="C183" s="30"/>
      <c r="D183" s="30"/>
      <c r="E183" s="30"/>
      <c r="F183" s="30"/>
      <c r="G183" s="30"/>
      <c r="H183" s="30"/>
      <c r="I183" s="30"/>
      <c r="J183" s="30"/>
      <c r="K183" s="30"/>
      <c r="L183" s="31"/>
    </row>
    <row r="184" spans="1:12">
      <c r="A184" s="30"/>
      <c r="B184" s="30"/>
      <c r="C184" s="30"/>
      <c r="D184" s="30"/>
      <c r="E184" s="30"/>
      <c r="F184" s="30"/>
      <c r="G184" s="30"/>
      <c r="H184" s="30"/>
      <c r="I184" s="30"/>
      <c r="J184" s="30"/>
      <c r="K184" s="30"/>
      <c r="L184" s="31"/>
    </row>
    <row r="185" spans="1:12">
      <c r="A185" s="30"/>
      <c r="B185" s="30"/>
      <c r="C185" s="30"/>
      <c r="D185" s="30"/>
      <c r="E185" s="30"/>
      <c r="F185" s="30"/>
      <c r="G185" s="30"/>
      <c r="H185" s="30"/>
      <c r="I185" s="30"/>
      <c r="J185" s="30"/>
      <c r="K185" s="30"/>
      <c r="L185" s="31"/>
    </row>
    <row r="186" spans="1:12">
      <c r="A186" s="30"/>
      <c r="B186" s="30"/>
      <c r="C186" s="30"/>
      <c r="D186" s="30"/>
      <c r="E186" s="30"/>
      <c r="F186" s="30"/>
      <c r="G186" s="30"/>
      <c r="H186" s="30"/>
      <c r="I186" s="30"/>
      <c r="J186" s="30"/>
      <c r="K186" s="30"/>
      <c r="L186" s="31"/>
    </row>
    <row r="187" spans="1:12">
      <c r="A187" s="30"/>
      <c r="B187" s="30"/>
      <c r="C187" s="30"/>
      <c r="D187" s="30"/>
      <c r="E187" s="30"/>
      <c r="F187" s="30"/>
      <c r="G187" s="30"/>
      <c r="H187" s="30"/>
      <c r="I187" s="30"/>
      <c r="J187" s="30"/>
      <c r="K187" s="30"/>
      <c r="L187" s="31"/>
    </row>
    <row r="188" spans="1:12">
      <c r="A188" s="30"/>
      <c r="B188" s="30"/>
      <c r="C188" s="30"/>
      <c r="D188" s="30"/>
      <c r="E188" s="30"/>
      <c r="F188" s="30"/>
      <c r="G188" s="30"/>
      <c r="H188" s="30"/>
      <c r="I188" s="30"/>
      <c r="J188" s="30"/>
      <c r="K188" s="30"/>
      <c r="L188" s="31"/>
    </row>
    <row r="189" spans="1:12">
      <c r="A189" s="30"/>
      <c r="B189" s="30"/>
      <c r="C189" s="30"/>
      <c r="D189" s="30"/>
      <c r="E189" s="30"/>
      <c r="F189" s="30"/>
      <c r="G189" s="30"/>
      <c r="H189" s="30"/>
      <c r="I189" s="30"/>
      <c r="J189" s="30"/>
      <c r="K189" s="30"/>
      <c r="L189" s="31"/>
    </row>
    <row r="190" spans="1:12">
      <c r="A190" s="30"/>
      <c r="B190" s="30"/>
      <c r="C190" s="30"/>
      <c r="D190" s="30"/>
      <c r="E190" s="30"/>
      <c r="F190" s="30"/>
      <c r="G190" s="30"/>
      <c r="H190" s="30"/>
      <c r="I190" s="30"/>
      <c r="J190" s="30"/>
      <c r="K190" s="30"/>
      <c r="L190" s="31"/>
    </row>
    <row r="191" spans="1:12">
      <c r="A191" s="30"/>
      <c r="B191" s="30"/>
      <c r="C191" s="30"/>
      <c r="D191" s="30"/>
      <c r="E191" s="30"/>
      <c r="F191" s="30"/>
      <c r="G191" s="30"/>
      <c r="H191" s="30"/>
      <c r="I191" s="30"/>
      <c r="J191" s="30"/>
      <c r="K191" s="30"/>
      <c r="L191" s="31"/>
    </row>
    <row r="192" spans="1:12">
      <c r="A192" s="30"/>
      <c r="B192" s="30"/>
      <c r="C192" s="30"/>
      <c r="D192" s="30"/>
      <c r="E192" s="30"/>
      <c r="F192" s="30"/>
      <c r="G192" s="30"/>
      <c r="H192" s="30"/>
      <c r="I192" s="30"/>
      <c r="J192" s="30"/>
      <c r="K192" s="30"/>
      <c r="L192" s="31"/>
    </row>
    <row r="193" spans="1:12">
      <c r="A193" s="30"/>
      <c r="B193" s="30"/>
      <c r="C193" s="30"/>
      <c r="D193" s="30"/>
      <c r="E193" s="30"/>
      <c r="F193" s="30"/>
      <c r="G193" s="30"/>
      <c r="H193" s="30"/>
      <c r="I193" s="30"/>
      <c r="J193" s="30"/>
      <c r="K193" s="30"/>
      <c r="L193" s="31"/>
    </row>
    <row r="194" spans="1:12">
      <c r="A194" s="30"/>
      <c r="B194" s="30"/>
      <c r="C194" s="30"/>
      <c r="D194" s="30"/>
      <c r="E194" s="30"/>
      <c r="F194" s="30"/>
      <c r="G194" s="30"/>
      <c r="H194" s="30"/>
      <c r="I194" s="30"/>
      <c r="J194" s="30"/>
      <c r="K194" s="30"/>
      <c r="L194" s="31"/>
    </row>
    <row r="195" spans="1:12">
      <c r="A195" s="30"/>
      <c r="B195" s="30"/>
      <c r="C195" s="30"/>
      <c r="D195" s="30"/>
      <c r="E195" s="30"/>
      <c r="F195" s="30"/>
      <c r="G195" s="30"/>
      <c r="H195" s="30"/>
      <c r="I195" s="30"/>
      <c r="J195" s="30"/>
      <c r="K195" s="30"/>
      <c r="L195" s="31"/>
    </row>
    <row r="196" spans="1:12">
      <c r="A196" s="30"/>
      <c r="B196" s="30"/>
      <c r="C196" s="30"/>
      <c r="D196" s="30"/>
      <c r="E196" s="30"/>
      <c r="F196" s="30"/>
      <c r="G196" s="30"/>
      <c r="H196" s="30"/>
      <c r="I196" s="30"/>
      <c r="J196" s="30"/>
      <c r="K196" s="30"/>
      <c r="L196" s="31"/>
    </row>
    <row r="197" spans="1:12">
      <c r="A197" s="30"/>
      <c r="B197" s="30"/>
      <c r="C197" s="30"/>
      <c r="D197" s="30"/>
      <c r="E197" s="30"/>
      <c r="F197" s="30"/>
      <c r="G197" s="30"/>
      <c r="H197" s="30"/>
      <c r="I197" s="30"/>
      <c r="J197" s="30"/>
      <c r="K197" s="30"/>
      <c r="L197" s="31"/>
    </row>
    <row r="198" spans="1:12">
      <c r="A198" s="30"/>
      <c r="B198" s="30"/>
      <c r="C198" s="30"/>
      <c r="D198" s="30"/>
      <c r="E198" s="30"/>
      <c r="F198" s="30"/>
      <c r="G198" s="30"/>
      <c r="H198" s="30"/>
      <c r="I198" s="30"/>
      <c r="J198" s="30"/>
      <c r="K198" s="30"/>
      <c r="L198" s="31"/>
    </row>
    <row r="199" spans="1:12">
      <c r="A199" s="30"/>
      <c r="B199" s="30"/>
      <c r="C199" s="30"/>
      <c r="D199" s="30"/>
      <c r="E199" s="30"/>
      <c r="F199" s="30"/>
      <c r="G199" s="30"/>
      <c r="H199" s="30"/>
      <c r="I199" s="30"/>
      <c r="J199" s="30"/>
      <c r="K199" s="30"/>
      <c r="L199" s="31"/>
    </row>
    <row r="200" spans="1:12">
      <c r="A200" s="30"/>
      <c r="B200" s="30"/>
      <c r="C200" s="30"/>
      <c r="D200" s="30"/>
      <c r="E200" s="30"/>
      <c r="F200" s="30"/>
      <c r="G200" s="30"/>
      <c r="H200" s="30"/>
      <c r="I200" s="30"/>
      <c r="J200" s="30"/>
      <c r="K200" s="30"/>
      <c r="L200" s="31"/>
    </row>
    <row r="201" spans="1:12">
      <c r="A201" s="30"/>
      <c r="B201" s="30"/>
      <c r="C201" s="30"/>
      <c r="D201" s="30"/>
      <c r="E201" s="30"/>
      <c r="F201" s="30"/>
      <c r="G201" s="30"/>
      <c r="H201" s="30"/>
      <c r="I201" s="30"/>
      <c r="J201" s="30"/>
      <c r="K201" s="30"/>
      <c r="L201" s="31"/>
    </row>
    <row r="202" spans="1:12">
      <c r="A202" s="30"/>
      <c r="B202" s="30"/>
      <c r="C202" s="30"/>
      <c r="D202" s="30"/>
      <c r="E202" s="30"/>
      <c r="F202" s="30"/>
      <c r="G202" s="30"/>
      <c r="H202" s="30"/>
      <c r="I202" s="30"/>
      <c r="J202" s="30"/>
      <c r="K202" s="30"/>
      <c r="L202" s="31"/>
    </row>
    <row r="203" spans="1:12">
      <c r="A203" s="30"/>
      <c r="B203" s="30"/>
      <c r="C203" s="30"/>
      <c r="D203" s="30"/>
      <c r="E203" s="30"/>
      <c r="F203" s="30"/>
      <c r="G203" s="30"/>
      <c r="H203" s="30"/>
      <c r="I203" s="30"/>
      <c r="J203" s="30"/>
      <c r="K203" s="30"/>
      <c r="L203" s="31"/>
    </row>
    <row r="204" spans="1:12">
      <c r="A204" s="30"/>
      <c r="B204" s="30"/>
      <c r="C204" s="30"/>
      <c r="D204" s="30"/>
      <c r="E204" s="30"/>
      <c r="F204" s="30"/>
      <c r="G204" s="30"/>
      <c r="H204" s="30"/>
      <c r="I204" s="30"/>
      <c r="J204" s="30"/>
      <c r="K204" s="30"/>
      <c r="L204" s="31"/>
    </row>
    <row r="205" spans="1:12">
      <c r="A205" s="30"/>
      <c r="B205" s="30"/>
      <c r="C205" s="30"/>
      <c r="D205" s="30"/>
      <c r="E205" s="30"/>
      <c r="F205" s="30"/>
      <c r="G205" s="30"/>
      <c r="H205" s="30"/>
      <c r="I205" s="30"/>
      <c r="J205" s="30"/>
      <c r="K205" s="30"/>
      <c r="L205" s="31"/>
    </row>
    <row r="206" spans="1:12">
      <c r="A206" s="30"/>
      <c r="B206" s="30"/>
      <c r="C206" s="30"/>
      <c r="D206" s="30"/>
      <c r="E206" s="30"/>
      <c r="F206" s="30"/>
      <c r="G206" s="30"/>
      <c r="H206" s="30"/>
      <c r="I206" s="30"/>
      <c r="J206" s="30"/>
      <c r="K206" s="30"/>
      <c r="L206" s="31"/>
    </row>
    <row r="207" spans="1:12">
      <c r="A207" s="30"/>
      <c r="B207" s="30"/>
      <c r="C207" s="30"/>
      <c r="D207" s="30"/>
      <c r="E207" s="30"/>
      <c r="F207" s="30"/>
      <c r="G207" s="30"/>
      <c r="H207" s="30"/>
      <c r="I207" s="30"/>
      <c r="J207" s="30"/>
      <c r="K207" s="30"/>
      <c r="L207" s="31"/>
    </row>
    <row r="208" spans="1:12">
      <c r="A208" s="30"/>
      <c r="B208" s="30"/>
      <c r="C208" s="30"/>
      <c r="D208" s="30"/>
      <c r="E208" s="30"/>
      <c r="F208" s="30"/>
      <c r="G208" s="30"/>
      <c r="H208" s="30"/>
      <c r="I208" s="30"/>
      <c r="J208" s="30"/>
      <c r="K208" s="30"/>
      <c r="L208" s="31"/>
    </row>
    <row r="209" spans="1:12">
      <c r="A209" s="30"/>
      <c r="B209" s="30"/>
      <c r="C209" s="30"/>
      <c r="D209" s="30"/>
      <c r="E209" s="30"/>
      <c r="F209" s="30"/>
      <c r="G209" s="30"/>
      <c r="H209" s="30"/>
      <c r="I209" s="30"/>
      <c r="J209" s="30"/>
      <c r="K209" s="30"/>
      <c r="L209" s="31"/>
    </row>
    <row r="210" spans="1:12">
      <c r="A210" s="30"/>
      <c r="B210" s="30"/>
      <c r="C210" s="30"/>
      <c r="D210" s="30"/>
      <c r="E210" s="30"/>
      <c r="F210" s="30"/>
      <c r="G210" s="30"/>
      <c r="H210" s="30"/>
      <c r="I210" s="30"/>
      <c r="J210" s="30"/>
      <c r="K210" s="30"/>
      <c r="L210" s="31"/>
    </row>
    <row r="211" spans="1:12">
      <c r="A211" s="30"/>
      <c r="B211" s="30"/>
      <c r="C211" s="30"/>
      <c r="D211" s="30"/>
      <c r="E211" s="30"/>
      <c r="F211" s="30"/>
      <c r="G211" s="30"/>
      <c r="H211" s="30"/>
      <c r="I211" s="30"/>
      <c r="J211" s="30"/>
      <c r="K211" s="30"/>
      <c r="L211" s="31"/>
    </row>
    <row r="212" spans="1:12">
      <c r="A212" s="30"/>
      <c r="B212" s="30"/>
      <c r="C212" s="30"/>
      <c r="D212" s="30"/>
      <c r="E212" s="30"/>
      <c r="F212" s="30"/>
      <c r="G212" s="30"/>
      <c r="H212" s="30"/>
      <c r="I212" s="30"/>
      <c r="J212" s="30"/>
      <c r="K212" s="30"/>
      <c r="L212" s="31"/>
    </row>
    <row r="213" spans="1:12">
      <c r="A213" s="30"/>
      <c r="B213" s="30"/>
      <c r="C213" s="30"/>
      <c r="D213" s="30"/>
      <c r="E213" s="30"/>
      <c r="F213" s="30"/>
      <c r="G213" s="30"/>
      <c r="H213" s="30"/>
      <c r="I213" s="30"/>
      <c r="J213" s="30"/>
      <c r="K213" s="30"/>
      <c r="L213" s="31"/>
    </row>
    <row r="214" spans="1:12">
      <c r="A214" s="30"/>
      <c r="B214" s="30"/>
      <c r="C214" s="30"/>
      <c r="D214" s="30"/>
      <c r="E214" s="30"/>
      <c r="F214" s="30"/>
      <c r="G214" s="30"/>
      <c r="H214" s="30"/>
      <c r="I214" s="30"/>
      <c r="J214" s="30"/>
      <c r="K214" s="30"/>
      <c r="L214" s="31"/>
    </row>
    <row r="215" spans="1:12">
      <c r="A215" s="30"/>
      <c r="B215" s="30"/>
      <c r="C215" s="30"/>
      <c r="D215" s="30"/>
      <c r="E215" s="30"/>
      <c r="F215" s="30"/>
      <c r="G215" s="30"/>
      <c r="H215" s="30"/>
      <c r="I215" s="30"/>
      <c r="J215" s="30"/>
      <c r="K215" s="30"/>
      <c r="L215" s="31"/>
    </row>
    <row r="216" spans="1:12">
      <c r="A216" s="30"/>
      <c r="B216" s="30"/>
      <c r="C216" s="30"/>
      <c r="D216" s="30"/>
      <c r="E216" s="30"/>
      <c r="F216" s="30"/>
      <c r="G216" s="30"/>
      <c r="H216" s="30"/>
      <c r="I216" s="30"/>
      <c r="J216" s="30"/>
      <c r="K216" s="30"/>
      <c r="L216" s="31"/>
    </row>
    <row r="217" spans="1:12">
      <c r="A217" s="30"/>
      <c r="B217" s="30"/>
      <c r="C217" s="30"/>
      <c r="D217" s="30"/>
      <c r="E217" s="30"/>
      <c r="F217" s="30"/>
      <c r="G217" s="30"/>
      <c r="H217" s="30"/>
      <c r="I217" s="30"/>
      <c r="J217" s="30"/>
      <c r="K217" s="30"/>
      <c r="L217" s="31"/>
    </row>
    <row r="218" spans="1:12">
      <c r="A218" s="30"/>
      <c r="B218" s="30"/>
      <c r="C218" s="30"/>
      <c r="D218" s="30"/>
      <c r="E218" s="30"/>
      <c r="F218" s="30"/>
      <c r="G218" s="30"/>
      <c r="H218" s="30"/>
      <c r="I218" s="30"/>
      <c r="J218" s="30"/>
      <c r="K218" s="30"/>
      <c r="L218" s="31"/>
    </row>
    <row r="219" spans="1:12">
      <c r="A219" s="30"/>
      <c r="B219" s="30"/>
      <c r="C219" s="30"/>
      <c r="D219" s="30"/>
      <c r="E219" s="30"/>
      <c r="F219" s="30"/>
      <c r="G219" s="30"/>
      <c r="H219" s="30"/>
      <c r="I219" s="30"/>
      <c r="J219" s="30"/>
      <c r="K219" s="30"/>
      <c r="L219" s="31"/>
    </row>
    <row r="220" spans="1:12">
      <c r="A220" s="30"/>
      <c r="B220" s="30"/>
      <c r="C220" s="30"/>
      <c r="D220" s="30"/>
      <c r="E220" s="30"/>
      <c r="F220" s="30"/>
      <c r="G220" s="30"/>
      <c r="H220" s="30"/>
      <c r="I220" s="30"/>
      <c r="J220" s="30"/>
      <c r="K220" s="30"/>
      <c r="L220" s="31"/>
    </row>
    <row r="221" spans="1:12">
      <c r="A221" s="30"/>
      <c r="B221" s="30"/>
      <c r="C221" s="30"/>
      <c r="D221" s="30"/>
      <c r="E221" s="30"/>
      <c r="F221" s="30"/>
      <c r="G221" s="30"/>
      <c r="H221" s="30"/>
      <c r="I221" s="30"/>
      <c r="J221" s="30"/>
      <c r="K221" s="30"/>
      <c r="L221" s="31"/>
    </row>
    <row r="222" spans="1:12">
      <c r="A222" s="30"/>
      <c r="B222" s="30"/>
      <c r="C222" s="30"/>
      <c r="D222" s="30"/>
      <c r="E222" s="30"/>
      <c r="F222" s="30"/>
      <c r="G222" s="30"/>
      <c r="H222" s="30"/>
      <c r="I222" s="30"/>
      <c r="J222" s="30"/>
      <c r="K222" s="30"/>
      <c r="L222" s="31"/>
    </row>
    <row r="223" spans="1:12">
      <c r="A223" s="30"/>
      <c r="B223" s="30"/>
      <c r="C223" s="30"/>
      <c r="D223" s="30"/>
      <c r="E223" s="30"/>
      <c r="F223" s="30"/>
      <c r="G223" s="30"/>
      <c r="H223" s="30"/>
      <c r="I223" s="30"/>
      <c r="J223" s="30"/>
      <c r="K223" s="30"/>
      <c r="L223" s="31"/>
    </row>
    <row r="224" spans="1:12">
      <c r="A224" s="30"/>
      <c r="B224" s="30"/>
      <c r="C224" s="30"/>
      <c r="D224" s="30"/>
      <c r="E224" s="30"/>
      <c r="F224" s="30"/>
      <c r="G224" s="30"/>
      <c r="H224" s="30"/>
      <c r="I224" s="30"/>
      <c r="J224" s="30"/>
      <c r="K224" s="30"/>
      <c r="L224" s="31"/>
    </row>
    <row r="225" spans="1:12">
      <c r="A225" s="30"/>
      <c r="B225" s="30"/>
      <c r="C225" s="30"/>
      <c r="D225" s="30"/>
      <c r="E225" s="30"/>
      <c r="F225" s="30"/>
      <c r="G225" s="30"/>
      <c r="H225" s="30"/>
      <c r="I225" s="30"/>
      <c r="J225" s="30"/>
      <c r="K225" s="30"/>
      <c r="L225" s="31"/>
    </row>
    <row r="226" spans="1:12">
      <c r="A226" s="30"/>
      <c r="B226" s="30"/>
      <c r="C226" s="30"/>
      <c r="D226" s="30"/>
      <c r="E226" s="30"/>
      <c r="F226" s="30"/>
      <c r="G226" s="30"/>
      <c r="H226" s="30"/>
      <c r="I226" s="30"/>
      <c r="J226" s="30"/>
      <c r="K226" s="30"/>
      <c r="L226" s="31"/>
    </row>
    <row r="227" spans="1:12">
      <c r="A227" s="30"/>
      <c r="B227" s="30"/>
      <c r="C227" s="30"/>
      <c r="D227" s="30"/>
      <c r="E227" s="30"/>
      <c r="F227" s="30"/>
      <c r="G227" s="30"/>
      <c r="H227" s="30"/>
      <c r="I227" s="30"/>
      <c r="J227" s="30"/>
      <c r="K227" s="30"/>
      <c r="L227" s="31"/>
    </row>
    <row r="228" spans="1:12">
      <c r="A228" s="30"/>
      <c r="B228" s="30"/>
      <c r="C228" s="30"/>
      <c r="D228" s="30"/>
      <c r="E228" s="30"/>
      <c r="F228" s="30"/>
      <c r="G228" s="30"/>
      <c r="H228" s="30"/>
      <c r="I228" s="30"/>
      <c r="J228" s="30"/>
      <c r="K228" s="30"/>
      <c r="L228" s="31"/>
    </row>
    <row r="229" spans="1:12">
      <c r="A229" s="30"/>
      <c r="B229" s="30"/>
      <c r="C229" s="30"/>
      <c r="D229" s="30"/>
      <c r="E229" s="30"/>
      <c r="F229" s="30"/>
      <c r="G229" s="30"/>
      <c r="H229" s="30"/>
      <c r="I229" s="30"/>
      <c r="J229" s="30"/>
      <c r="K229" s="30"/>
      <c r="L229" s="31"/>
    </row>
    <row r="230" spans="1:12">
      <c r="A230" s="30"/>
      <c r="B230" s="30"/>
      <c r="C230" s="30"/>
      <c r="D230" s="30"/>
      <c r="E230" s="30"/>
      <c r="F230" s="30"/>
      <c r="G230" s="30"/>
      <c r="H230" s="30"/>
      <c r="I230" s="30"/>
      <c r="J230" s="30"/>
      <c r="K230" s="30"/>
      <c r="L230" s="31"/>
    </row>
    <row r="231" spans="1:12">
      <c r="A231" s="30"/>
      <c r="B231" s="30"/>
      <c r="C231" s="30"/>
      <c r="D231" s="30"/>
      <c r="E231" s="30"/>
      <c r="F231" s="30"/>
      <c r="G231" s="30"/>
      <c r="H231" s="30"/>
      <c r="I231" s="30"/>
      <c r="J231" s="30"/>
      <c r="K231" s="30"/>
      <c r="L231" s="31"/>
    </row>
    <row r="232" spans="1:12">
      <c r="A232" s="30"/>
      <c r="B232" s="30"/>
      <c r="C232" s="30"/>
      <c r="D232" s="30"/>
      <c r="E232" s="30"/>
      <c r="F232" s="30"/>
      <c r="G232" s="30"/>
      <c r="H232" s="30"/>
      <c r="I232" s="30"/>
      <c r="J232" s="30"/>
      <c r="K232" s="30"/>
      <c r="L232" s="31"/>
    </row>
    <row r="233" spans="1:12">
      <c r="A233" s="30"/>
      <c r="B233" s="30"/>
      <c r="C233" s="30"/>
      <c r="D233" s="30"/>
      <c r="E233" s="30"/>
      <c r="F233" s="30"/>
      <c r="G233" s="30"/>
      <c r="H233" s="30"/>
      <c r="I233" s="30"/>
      <c r="J233" s="30"/>
      <c r="K233" s="30"/>
      <c r="L233" s="31"/>
    </row>
    <row r="234" spans="1:12">
      <c r="A234" s="30"/>
      <c r="B234" s="30"/>
      <c r="C234" s="30"/>
      <c r="D234" s="30"/>
      <c r="E234" s="30"/>
      <c r="F234" s="30"/>
      <c r="G234" s="30"/>
      <c r="H234" s="30"/>
      <c r="I234" s="30"/>
      <c r="J234" s="30"/>
      <c r="K234" s="30"/>
      <c r="L234" s="31"/>
    </row>
    <row r="235" spans="1:12">
      <c r="A235" s="30"/>
      <c r="B235" s="30"/>
      <c r="C235" s="30"/>
      <c r="D235" s="30"/>
      <c r="E235" s="30"/>
      <c r="F235" s="30"/>
      <c r="G235" s="30"/>
      <c r="H235" s="30"/>
      <c r="I235" s="30"/>
      <c r="J235" s="30"/>
      <c r="K235" s="30"/>
      <c r="L235" s="31"/>
    </row>
    <row r="236" spans="1:12">
      <c r="A236" s="30"/>
      <c r="B236" s="30"/>
      <c r="C236" s="30"/>
      <c r="D236" s="30"/>
      <c r="E236" s="30"/>
      <c r="F236" s="30"/>
      <c r="G236" s="30"/>
      <c r="H236" s="30"/>
      <c r="I236" s="30"/>
      <c r="J236" s="30"/>
      <c r="K236" s="30"/>
      <c r="L236" s="31"/>
    </row>
    <row r="237" spans="1:12">
      <c r="A237" s="30"/>
      <c r="B237" s="30"/>
      <c r="C237" s="30"/>
      <c r="D237" s="30"/>
      <c r="E237" s="30"/>
      <c r="F237" s="30"/>
      <c r="G237" s="30"/>
      <c r="H237" s="30"/>
      <c r="I237" s="30"/>
      <c r="J237" s="30"/>
      <c r="K237" s="30"/>
      <c r="L237" s="31"/>
    </row>
    <row r="238" spans="1:12">
      <c r="A238" s="30"/>
      <c r="B238" s="30"/>
      <c r="C238" s="30"/>
      <c r="D238" s="30"/>
      <c r="E238" s="30"/>
      <c r="F238" s="30"/>
      <c r="G238" s="30"/>
      <c r="H238" s="30"/>
      <c r="I238" s="30"/>
      <c r="J238" s="30"/>
      <c r="K238" s="30"/>
      <c r="L238" s="31"/>
    </row>
    <row r="239" spans="1:12">
      <c r="A239" s="30"/>
      <c r="B239" s="30"/>
      <c r="C239" s="30"/>
      <c r="D239" s="30"/>
      <c r="E239" s="30"/>
      <c r="F239" s="30"/>
      <c r="G239" s="30"/>
      <c r="H239" s="30"/>
      <c r="I239" s="30"/>
      <c r="J239" s="30"/>
      <c r="K239" s="30"/>
      <c r="L239" s="31"/>
    </row>
    <row r="240" spans="1:12">
      <c r="A240" s="30"/>
      <c r="B240" s="30"/>
      <c r="C240" s="30"/>
      <c r="D240" s="30"/>
      <c r="E240" s="30"/>
      <c r="F240" s="30"/>
      <c r="G240" s="30"/>
      <c r="H240" s="30"/>
      <c r="I240" s="30"/>
      <c r="J240" s="30"/>
      <c r="K240" s="30"/>
      <c r="L240" s="31"/>
    </row>
    <row r="241" spans="1:12">
      <c r="A241" s="30"/>
      <c r="B241" s="30"/>
      <c r="C241" s="30"/>
      <c r="D241" s="30"/>
      <c r="E241" s="30"/>
      <c r="F241" s="30"/>
      <c r="G241" s="30"/>
      <c r="H241" s="30"/>
      <c r="I241" s="30"/>
      <c r="J241" s="30"/>
      <c r="K241" s="30"/>
      <c r="L241" s="31"/>
    </row>
    <row r="242" spans="1:12">
      <c r="A242" s="30"/>
      <c r="B242" s="30"/>
      <c r="C242" s="30"/>
      <c r="D242" s="30"/>
      <c r="E242" s="30"/>
      <c r="F242" s="30"/>
      <c r="G242" s="30"/>
      <c r="H242" s="30"/>
      <c r="I242" s="30"/>
      <c r="J242" s="30"/>
      <c r="K242" s="30"/>
      <c r="L242" s="31"/>
    </row>
    <row r="243" spans="1:12">
      <c r="A243" s="30"/>
      <c r="B243" s="30"/>
      <c r="C243" s="30"/>
      <c r="D243" s="30"/>
      <c r="E243" s="30"/>
      <c r="F243" s="30"/>
      <c r="G243" s="30"/>
      <c r="H243" s="30"/>
      <c r="I243" s="30"/>
      <c r="J243" s="30"/>
      <c r="K243" s="30"/>
      <c r="L243" s="31"/>
    </row>
    <row r="244" spans="1:12">
      <c r="A244" s="30"/>
      <c r="B244" s="30"/>
      <c r="C244" s="30"/>
      <c r="D244" s="30"/>
      <c r="E244" s="30"/>
      <c r="F244" s="30"/>
      <c r="G244" s="30"/>
      <c r="H244" s="30"/>
      <c r="I244" s="30"/>
      <c r="J244" s="30"/>
      <c r="K244" s="30"/>
      <c r="L244" s="31"/>
    </row>
    <row r="245" spans="1:12">
      <c r="A245" s="30"/>
      <c r="B245" s="30"/>
      <c r="C245" s="30"/>
      <c r="D245" s="30"/>
      <c r="E245" s="30"/>
      <c r="F245" s="30"/>
      <c r="G245" s="30"/>
      <c r="H245" s="30"/>
      <c r="I245" s="30"/>
      <c r="J245" s="30"/>
      <c r="K245" s="30"/>
      <c r="L245" s="31"/>
    </row>
    <row r="246" spans="1:12">
      <c r="A246" s="30"/>
      <c r="B246" s="30"/>
      <c r="C246" s="30"/>
      <c r="D246" s="30"/>
      <c r="E246" s="30"/>
      <c r="F246" s="30"/>
      <c r="G246" s="30"/>
      <c r="H246" s="30"/>
      <c r="I246" s="30"/>
      <c r="J246" s="30"/>
      <c r="K246" s="30"/>
      <c r="L246" s="31"/>
    </row>
    <row r="247" spans="1:12">
      <c r="A247" s="30"/>
      <c r="B247" s="30"/>
      <c r="C247" s="30"/>
      <c r="D247" s="30"/>
      <c r="E247" s="30"/>
      <c r="F247" s="30"/>
      <c r="G247" s="30"/>
      <c r="H247" s="30"/>
      <c r="I247" s="30"/>
      <c r="J247" s="30"/>
      <c r="K247" s="30"/>
      <c r="L247" s="31"/>
    </row>
    <row r="248" spans="1:12">
      <c r="A248" s="30"/>
      <c r="B248" s="30"/>
      <c r="C248" s="30"/>
      <c r="D248" s="30"/>
      <c r="E248" s="30"/>
      <c r="F248" s="30"/>
      <c r="G248" s="30"/>
      <c r="H248" s="30"/>
      <c r="I248" s="30"/>
      <c r="J248" s="30"/>
      <c r="K248" s="30"/>
      <c r="L248" s="31"/>
    </row>
    <row r="249" spans="1:12">
      <c r="A249" s="30"/>
      <c r="B249" s="30"/>
      <c r="C249" s="30"/>
      <c r="D249" s="30"/>
      <c r="E249" s="30"/>
      <c r="F249" s="30"/>
      <c r="G249" s="30"/>
      <c r="H249" s="30"/>
      <c r="I249" s="30"/>
      <c r="J249" s="30"/>
      <c r="K249" s="30"/>
      <c r="L249" s="31"/>
    </row>
    <row r="250" spans="1:12">
      <c r="A250" s="30"/>
      <c r="B250" s="30"/>
      <c r="C250" s="30"/>
      <c r="D250" s="30"/>
      <c r="E250" s="30"/>
      <c r="F250" s="30"/>
      <c r="G250" s="30"/>
      <c r="H250" s="30"/>
      <c r="I250" s="30"/>
      <c r="J250" s="30"/>
      <c r="K250" s="30"/>
      <c r="L250" s="31"/>
    </row>
    <row r="251" spans="1:12">
      <c r="A251" s="30"/>
      <c r="B251" s="30"/>
      <c r="C251" s="30"/>
      <c r="D251" s="30"/>
      <c r="E251" s="30"/>
      <c r="F251" s="30"/>
      <c r="G251" s="30"/>
      <c r="H251" s="30"/>
      <c r="I251" s="30"/>
      <c r="J251" s="30"/>
      <c r="K251" s="30"/>
      <c r="L251" s="31"/>
    </row>
    <row r="252" spans="1:12">
      <c r="A252" s="30"/>
      <c r="B252" s="30"/>
      <c r="C252" s="30"/>
      <c r="D252" s="30"/>
      <c r="E252" s="30"/>
      <c r="F252" s="30"/>
      <c r="G252" s="30"/>
      <c r="H252" s="30"/>
      <c r="I252" s="30"/>
      <c r="J252" s="30"/>
      <c r="K252" s="30"/>
      <c r="L252" s="31"/>
    </row>
    <row r="253" spans="1:12">
      <c r="A253" s="30"/>
      <c r="B253" s="30"/>
      <c r="C253" s="30"/>
      <c r="D253" s="30"/>
      <c r="E253" s="30"/>
      <c r="F253" s="30"/>
      <c r="G253" s="30"/>
      <c r="H253" s="30"/>
      <c r="I253" s="30"/>
      <c r="J253" s="30"/>
      <c r="K253" s="30"/>
      <c r="L253" s="31"/>
    </row>
    <row r="254" spans="1:12">
      <c r="A254" s="30"/>
      <c r="B254" s="30"/>
      <c r="C254" s="30"/>
      <c r="D254" s="30"/>
      <c r="E254" s="30"/>
      <c r="F254" s="30"/>
      <c r="G254" s="30"/>
      <c r="H254" s="30"/>
      <c r="I254" s="30"/>
      <c r="J254" s="30"/>
      <c r="K254" s="30"/>
      <c r="L254" s="31"/>
    </row>
    <row r="255" spans="1:12">
      <c r="A255" s="30"/>
      <c r="B255" s="30"/>
      <c r="C255" s="30"/>
      <c r="D255" s="30"/>
      <c r="E255" s="30"/>
      <c r="F255" s="30"/>
      <c r="G255" s="30"/>
      <c r="H255" s="30"/>
      <c r="I255" s="30"/>
      <c r="J255" s="30"/>
      <c r="K255" s="30"/>
      <c r="L255" s="31"/>
    </row>
    <row r="256" spans="1:12">
      <c r="A256" s="30"/>
      <c r="B256" s="30"/>
      <c r="C256" s="30"/>
      <c r="D256" s="30"/>
      <c r="E256" s="30"/>
      <c r="F256" s="30"/>
      <c r="G256" s="30"/>
      <c r="H256" s="30"/>
      <c r="I256" s="30"/>
      <c r="J256" s="30"/>
      <c r="K256" s="30"/>
      <c r="L256" s="31"/>
    </row>
    <row r="257" spans="1:12">
      <c r="A257" s="30"/>
      <c r="B257" s="30"/>
      <c r="C257" s="30"/>
      <c r="D257" s="30"/>
      <c r="E257" s="30"/>
      <c r="F257" s="30"/>
      <c r="G257" s="30"/>
      <c r="H257" s="30"/>
      <c r="I257" s="30"/>
      <c r="J257" s="30"/>
      <c r="K257" s="30"/>
      <c r="L257" s="31"/>
    </row>
    <row r="258" spans="1:12">
      <c r="A258" s="30"/>
      <c r="B258" s="30"/>
      <c r="C258" s="30"/>
      <c r="D258" s="30"/>
      <c r="E258" s="30"/>
      <c r="F258" s="30"/>
      <c r="G258" s="30"/>
      <c r="H258" s="30"/>
      <c r="I258" s="30"/>
      <c r="J258" s="30"/>
      <c r="K258" s="30"/>
      <c r="L258" s="31"/>
    </row>
    <row r="259" spans="1:12">
      <c r="A259" s="30"/>
      <c r="B259" s="30"/>
      <c r="C259" s="30"/>
      <c r="D259" s="30"/>
      <c r="E259" s="30"/>
      <c r="F259" s="30"/>
      <c r="G259" s="30"/>
      <c r="H259" s="30"/>
      <c r="I259" s="30"/>
      <c r="J259" s="30"/>
      <c r="K259" s="30"/>
      <c r="L259" s="31"/>
    </row>
    <row r="260" spans="1:12">
      <c r="A260" s="30"/>
      <c r="B260" s="30"/>
      <c r="C260" s="30"/>
      <c r="D260" s="30"/>
      <c r="E260" s="30"/>
      <c r="F260" s="30"/>
      <c r="G260" s="30"/>
      <c r="H260" s="30"/>
      <c r="I260" s="30"/>
      <c r="J260" s="30"/>
      <c r="K260" s="30"/>
      <c r="L260" s="31"/>
    </row>
    <row r="261" spans="1:12">
      <c r="A261" s="30"/>
      <c r="B261" s="30"/>
      <c r="C261" s="30"/>
      <c r="D261" s="30"/>
      <c r="E261" s="30"/>
      <c r="F261" s="30"/>
      <c r="G261" s="30"/>
      <c r="H261" s="30"/>
      <c r="I261" s="30"/>
      <c r="J261" s="30"/>
      <c r="K261" s="30"/>
      <c r="L261" s="31"/>
    </row>
    <row r="262" spans="1:12">
      <c r="A262" s="30"/>
      <c r="B262" s="30"/>
      <c r="C262" s="30"/>
      <c r="D262" s="30"/>
      <c r="E262" s="30"/>
      <c r="F262" s="30"/>
      <c r="G262" s="30"/>
      <c r="H262" s="30"/>
      <c r="I262" s="30"/>
      <c r="J262" s="30"/>
      <c r="K262" s="30"/>
      <c r="L262" s="31"/>
    </row>
    <row r="263" spans="1:12">
      <c r="A263" s="30"/>
      <c r="B263" s="30"/>
      <c r="C263" s="30"/>
      <c r="D263" s="30"/>
      <c r="E263" s="30"/>
      <c r="F263" s="30"/>
      <c r="G263" s="30"/>
      <c r="H263" s="30"/>
      <c r="I263" s="30"/>
      <c r="J263" s="30"/>
      <c r="K263" s="30"/>
      <c r="L263" s="31"/>
    </row>
    <row r="264" spans="1:12">
      <c r="A264" s="30"/>
      <c r="B264" s="30"/>
      <c r="C264" s="30"/>
      <c r="D264" s="30"/>
      <c r="E264" s="30"/>
      <c r="F264" s="30"/>
      <c r="G264" s="30"/>
      <c r="H264" s="30"/>
      <c r="I264" s="30"/>
      <c r="J264" s="30"/>
      <c r="K264" s="30"/>
      <c r="L264" s="31"/>
    </row>
    <row r="265" spans="1:12">
      <c r="A265" s="30"/>
      <c r="B265" s="30"/>
      <c r="C265" s="30"/>
      <c r="D265" s="30"/>
      <c r="E265" s="30"/>
      <c r="F265" s="30"/>
      <c r="G265" s="30"/>
      <c r="H265" s="30"/>
      <c r="I265" s="30"/>
      <c r="J265" s="30"/>
      <c r="K265" s="30"/>
      <c r="L265" s="31"/>
    </row>
    <row r="266" spans="1:12">
      <c r="A266" s="30"/>
      <c r="B266" s="30"/>
      <c r="C266" s="30"/>
      <c r="D266" s="30"/>
      <c r="E266" s="30"/>
      <c r="F266" s="30"/>
      <c r="G266" s="30"/>
      <c r="H266" s="30"/>
      <c r="I266" s="30"/>
      <c r="J266" s="30"/>
      <c r="K266" s="30"/>
      <c r="L266" s="31"/>
    </row>
    <row r="267" spans="1:12">
      <c r="A267" s="30"/>
      <c r="B267" s="30"/>
      <c r="C267" s="30"/>
      <c r="D267" s="30"/>
      <c r="E267" s="30"/>
      <c r="F267" s="30"/>
      <c r="G267" s="30"/>
      <c r="H267" s="30"/>
      <c r="I267" s="30"/>
      <c r="J267" s="30"/>
      <c r="K267" s="30"/>
      <c r="L267" s="31"/>
    </row>
    <row r="268" spans="1:12">
      <c r="A268" s="30"/>
      <c r="B268" s="30"/>
      <c r="C268" s="30"/>
      <c r="D268" s="30"/>
      <c r="E268" s="30"/>
      <c r="F268" s="30"/>
      <c r="G268" s="30"/>
      <c r="H268" s="30"/>
      <c r="I268" s="30"/>
      <c r="J268" s="30"/>
      <c r="K268" s="30"/>
      <c r="L268" s="31"/>
    </row>
    <row r="269" spans="1:12">
      <c r="A269" s="30"/>
      <c r="B269" s="30"/>
      <c r="C269" s="30"/>
      <c r="D269" s="30"/>
      <c r="E269" s="30"/>
      <c r="F269" s="30"/>
      <c r="G269" s="30"/>
      <c r="H269" s="30"/>
      <c r="I269" s="30"/>
      <c r="J269" s="30"/>
      <c r="K269" s="30"/>
      <c r="L269" s="31"/>
    </row>
    <row r="270" spans="1:12">
      <c r="A270" s="30"/>
      <c r="B270" s="30"/>
      <c r="C270" s="30"/>
      <c r="D270" s="30"/>
      <c r="E270" s="30"/>
      <c r="F270" s="30"/>
      <c r="G270" s="30"/>
      <c r="H270" s="30"/>
      <c r="I270" s="30"/>
      <c r="J270" s="30"/>
      <c r="K270" s="30"/>
      <c r="L270" s="31"/>
    </row>
    <row r="271" spans="1:12">
      <c r="A271" s="30"/>
      <c r="B271" s="30"/>
      <c r="C271" s="30"/>
      <c r="D271" s="30"/>
      <c r="E271" s="30"/>
      <c r="F271" s="30"/>
      <c r="G271" s="30"/>
      <c r="H271" s="30"/>
      <c r="I271" s="30"/>
      <c r="J271" s="30"/>
      <c r="K271" s="30"/>
      <c r="L271" s="31"/>
    </row>
    <row r="272" spans="1:12">
      <c r="A272" s="30"/>
      <c r="B272" s="30"/>
      <c r="C272" s="30"/>
      <c r="D272" s="30"/>
      <c r="E272" s="30"/>
      <c r="F272" s="30"/>
      <c r="G272" s="30"/>
      <c r="H272" s="30"/>
      <c r="I272" s="30"/>
      <c r="J272" s="30"/>
      <c r="K272" s="30"/>
      <c r="L272" s="31"/>
    </row>
    <row r="273" spans="1:12">
      <c r="A273" s="30"/>
      <c r="B273" s="30"/>
      <c r="C273" s="30"/>
      <c r="D273" s="30"/>
      <c r="E273" s="30"/>
      <c r="F273" s="30"/>
      <c r="G273" s="30"/>
      <c r="H273" s="30"/>
      <c r="I273" s="30"/>
      <c r="J273" s="30"/>
      <c r="K273" s="30"/>
      <c r="L273" s="31"/>
    </row>
    <row r="274" spans="1:12">
      <c r="A274" s="30"/>
      <c r="B274" s="30"/>
      <c r="C274" s="30"/>
      <c r="D274" s="30"/>
      <c r="E274" s="30"/>
      <c r="F274" s="30"/>
      <c r="G274" s="30"/>
      <c r="H274" s="30"/>
      <c r="I274" s="30"/>
      <c r="J274" s="30"/>
      <c r="K274" s="30"/>
      <c r="L274" s="31"/>
    </row>
    <row r="275" spans="1:12">
      <c r="A275" s="30"/>
      <c r="B275" s="30"/>
      <c r="C275" s="30"/>
      <c r="D275" s="30"/>
      <c r="E275" s="30"/>
      <c r="F275" s="30"/>
      <c r="G275" s="30"/>
      <c r="H275" s="30"/>
      <c r="I275" s="30"/>
      <c r="J275" s="30"/>
      <c r="K275" s="30"/>
      <c r="L275" s="31"/>
    </row>
    <row r="276" spans="1:12">
      <c r="A276" s="30"/>
      <c r="B276" s="30"/>
      <c r="C276" s="30"/>
      <c r="D276" s="30"/>
      <c r="E276" s="30"/>
      <c r="F276" s="30"/>
      <c r="G276" s="30"/>
      <c r="H276" s="30"/>
      <c r="I276" s="30"/>
      <c r="J276" s="30"/>
      <c r="K276" s="30"/>
      <c r="L276" s="31"/>
    </row>
    <row r="277" spans="1:12">
      <c r="A277" s="30"/>
      <c r="B277" s="30"/>
      <c r="C277" s="30"/>
      <c r="D277" s="30"/>
      <c r="E277" s="30"/>
      <c r="F277" s="30"/>
      <c r="G277" s="30"/>
      <c r="H277" s="30"/>
      <c r="I277" s="30"/>
      <c r="J277" s="30"/>
      <c r="K277" s="30"/>
      <c r="L277" s="31"/>
    </row>
    <row r="278" spans="1:12">
      <c r="A278" s="30"/>
      <c r="B278" s="30"/>
      <c r="C278" s="30"/>
      <c r="D278" s="30"/>
      <c r="E278" s="30"/>
      <c r="F278" s="30"/>
      <c r="G278" s="30"/>
      <c r="H278" s="30"/>
      <c r="I278" s="30"/>
      <c r="J278" s="30"/>
      <c r="K278" s="30"/>
      <c r="L278" s="31"/>
    </row>
    <row r="279" spans="1:12">
      <c r="A279" s="30"/>
      <c r="B279" s="30"/>
      <c r="C279" s="30"/>
      <c r="D279" s="30"/>
      <c r="E279" s="30"/>
      <c r="F279" s="30"/>
      <c r="G279" s="30"/>
      <c r="H279" s="30"/>
      <c r="I279" s="30"/>
      <c r="J279" s="30"/>
      <c r="K279" s="30"/>
      <c r="L279" s="31"/>
    </row>
    <row r="280" spans="1:12">
      <c r="A280" s="30"/>
      <c r="B280" s="30"/>
      <c r="C280" s="30"/>
      <c r="D280" s="30"/>
      <c r="E280" s="30"/>
      <c r="F280" s="30"/>
      <c r="G280" s="30"/>
      <c r="H280" s="30"/>
      <c r="I280" s="30"/>
      <c r="J280" s="30"/>
      <c r="K280" s="30"/>
      <c r="L280" s="31"/>
    </row>
    <row r="281" spans="1:12">
      <c r="A281" s="30"/>
      <c r="B281" s="30"/>
      <c r="C281" s="30"/>
      <c r="D281" s="30"/>
      <c r="E281" s="30"/>
      <c r="F281" s="30"/>
      <c r="G281" s="30"/>
      <c r="H281" s="30"/>
      <c r="I281" s="30"/>
      <c r="J281" s="30"/>
      <c r="K281" s="30"/>
      <c r="L281" s="31"/>
    </row>
    <row r="282" spans="1:12">
      <c r="A282" s="30"/>
      <c r="B282" s="30"/>
      <c r="C282" s="30"/>
      <c r="D282" s="30"/>
      <c r="E282" s="30"/>
      <c r="F282" s="30"/>
      <c r="G282" s="30"/>
      <c r="H282" s="30"/>
      <c r="I282" s="30"/>
      <c r="J282" s="30"/>
      <c r="K282" s="30"/>
      <c r="L282" s="31"/>
    </row>
    <row r="283" spans="1:12">
      <c r="A283" s="30"/>
      <c r="B283" s="30"/>
      <c r="C283" s="30"/>
      <c r="D283" s="30"/>
      <c r="E283" s="30"/>
      <c r="F283" s="30"/>
      <c r="G283" s="30"/>
      <c r="H283" s="30"/>
      <c r="I283" s="30"/>
      <c r="J283" s="30"/>
      <c r="K283" s="30"/>
      <c r="L283" s="31"/>
    </row>
    <row r="284" spans="1:12">
      <c r="A284" s="30"/>
      <c r="B284" s="30"/>
      <c r="C284" s="30"/>
      <c r="D284" s="30"/>
      <c r="E284" s="30"/>
      <c r="F284" s="30"/>
      <c r="G284" s="30"/>
      <c r="H284" s="30"/>
      <c r="I284" s="30"/>
      <c r="J284" s="30"/>
      <c r="K284" s="30"/>
      <c r="L284" s="31"/>
    </row>
    <row r="285" spans="1:12">
      <c r="A285" s="30"/>
      <c r="B285" s="30"/>
      <c r="C285" s="30"/>
      <c r="D285" s="30"/>
      <c r="E285" s="30"/>
      <c r="F285" s="30"/>
      <c r="G285" s="30"/>
      <c r="H285" s="30"/>
      <c r="I285" s="30"/>
      <c r="J285" s="30"/>
      <c r="K285" s="30"/>
      <c r="L285" s="31"/>
    </row>
    <row r="286" spans="1:12">
      <c r="A286" s="30"/>
      <c r="B286" s="30"/>
      <c r="C286" s="30"/>
      <c r="D286" s="30"/>
      <c r="E286" s="30"/>
      <c r="F286" s="30"/>
      <c r="G286" s="30"/>
      <c r="H286" s="30"/>
      <c r="I286" s="30"/>
      <c r="J286" s="30"/>
      <c r="K286" s="30"/>
      <c r="L286" s="31"/>
    </row>
    <row r="287" spans="1:12">
      <c r="A287" s="30"/>
      <c r="B287" s="30"/>
      <c r="C287" s="30"/>
      <c r="D287" s="30"/>
      <c r="E287" s="30"/>
      <c r="F287" s="30"/>
      <c r="G287" s="30"/>
      <c r="H287" s="30"/>
      <c r="I287" s="30"/>
      <c r="J287" s="30"/>
      <c r="K287" s="30"/>
      <c r="L287" s="31"/>
    </row>
    <row r="288" spans="1:12">
      <c r="A288" s="30"/>
      <c r="B288" s="30"/>
      <c r="C288" s="30"/>
      <c r="D288" s="30"/>
      <c r="E288" s="30"/>
      <c r="F288" s="30"/>
      <c r="G288" s="30"/>
      <c r="H288" s="30"/>
      <c r="I288" s="30"/>
      <c r="J288" s="30"/>
      <c r="K288" s="30"/>
      <c r="L288" s="31"/>
    </row>
    <row r="289" spans="1:12">
      <c r="A289" s="30"/>
      <c r="B289" s="30"/>
      <c r="C289" s="30"/>
      <c r="D289" s="30"/>
      <c r="E289" s="30"/>
      <c r="F289" s="30"/>
      <c r="G289" s="30"/>
      <c r="H289" s="30"/>
      <c r="I289" s="30"/>
      <c r="J289" s="30"/>
      <c r="K289" s="30"/>
      <c r="L289" s="31"/>
    </row>
    <row r="290" spans="1:12">
      <c r="A290" s="30"/>
      <c r="B290" s="30"/>
      <c r="C290" s="30"/>
      <c r="D290" s="30"/>
      <c r="E290" s="30"/>
      <c r="F290" s="30"/>
      <c r="G290" s="30"/>
      <c r="H290" s="30"/>
      <c r="I290" s="30"/>
      <c r="J290" s="30"/>
      <c r="K290" s="30"/>
      <c r="L290" s="31"/>
    </row>
    <row r="291" spans="1:12">
      <c r="A291" s="30"/>
      <c r="B291" s="30"/>
      <c r="C291" s="30"/>
      <c r="D291" s="30"/>
      <c r="E291" s="30"/>
      <c r="F291" s="30"/>
      <c r="G291" s="30"/>
      <c r="H291" s="30"/>
      <c r="I291" s="30"/>
      <c r="J291" s="30"/>
      <c r="K291" s="30"/>
      <c r="L291" s="31"/>
    </row>
    <row r="292" spans="1:12">
      <c r="A292" s="30"/>
      <c r="B292" s="30"/>
      <c r="C292" s="30"/>
      <c r="D292" s="30"/>
      <c r="E292" s="30"/>
      <c r="F292" s="30"/>
      <c r="G292" s="30"/>
      <c r="H292" s="30"/>
      <c r="I292" s="30"/>
      <c r="J292" s="30"/>
      <c r="K292" s="30"/>
      <c r="L292" s="31"/>
    </row>
    <row r="293" spans="1:12">
      <c r="A293" s="30"/>
      <c r="B293" s="30"/>
      <c r="C293" s="30"/>
      <c r="D293" s="30"/>
      <c r="E293" s="30"/>
      <c r="F293" s="30"/>
      <c r="G293" s="30"/>
      <c r="H293" s="30"/>
      <c r="I293" s="30"/>
      <c r="J293" s="30"/>
      <c r="K293" s="30"/>
      <c r="L293" s="31"/>
    </row>
    <row r="294" spans="1:12">
      <c r="A294" s="30"/>
      <c r="B294" s="30"/>
      <c r="C294" s="30"/>
      <c r="D294" s="30"/>
      <c r="E294" s="30"/>
      <c r="F294" s="30"/>
      <c r="G294" s="30"/>
      <c r="H294" s="30"/>
      <c r="I294" s="30"/>
      <c r="J294" s="30"/>
      <c r="K294" s="30"/>
      <c r="L294" s="31"/>
    </row>
    <row r="295" spans="1:12">
      <c r="A295" s="30"/>
      <c r="B295" s="30"/>
      <c r="C295" s="30"/>
      <c r="D295" s="30"/>
      <c r="E295" s="30"/>
      <c r="F295" s="30"/>
      <c r="G295" s="30"/>
      <c r="H295" s="30"/>
      <c r="I295" s="30"/>
      <c r="J295" s="30"/>
      <c r="K295" s="30"/>
      <c r="L295" s="31"/>
    </row>
    <row r="296" spans="1:12">
      <c r="A296" s="30"/>
      <c r="B296" s="30"/>
      <c r="C296" s="30"/>
      <c r="D296" s="30"/>
      <c r="E296" s="30"/>
      <c r="F296" s="30"/>
      <c r="G296" s="30"/>
      <c r="H296" s="30"/>
      <c r="I296" s="30"/>
      <c r="J296" s="30"/>
      <c r="K296" s="30"/>
      <c r="L296" s="31"/>
    </row>
    <row r="297" spans="1:12">
      <c r="A297" s="30"/>
      <c r="B297" s="30"/>
      <c r="C297" s="30"/>
      <c r="D297" s="30"/>
      <c r="E297" s="30"/>
      <c r="F297" s="30"/>
      <c r="G297" s="30"/>
      <c r="H297" s="30"/>
      <c r="I297" s="30"/>
      <c r="J297" s="30"/>
      <c r="K297" s="30"/>
      <c r="L297" s="31"/>
    </row>
    <row r="298" spans="1:12">
      <c r="A298" s="30"/>
      <c r="B298" s="30"/>
      <c r="C298" s="30"/>
      <c r="D298" s="30"/>
      <c r="E298" s="30"/>
      <c r="F298" s="30"/>
      <c r="G298" s="30"/>
      <c r="H298" s="30"/>
      <c r="I298" s="30"/>
      <c r="J298" s="30"/>
      <c r="K298" s="30"/>
      <c r="L298" s="31"/>
    </row>
    <row r="299" spans="1:12">
      <c r="A299" s="30"/>
      <c r="B299" s="30"/>
      <c r="C299" s="30"/>
      <c r="D299" s="30"/>
      <c r="E299" s="30"/>
      <c r="F299" s="30"/>
      <c r="G299" s="30"/>
      <c r="H299" s="30"/>
      <c r="I299" s="30"/>
      <c r="J299" s="30"/>
      <c r="K299" s="30"/>
      <c r="L299" s="31"/>
    </row>
    <row r="300" spans="1:12">
      <c r="A300" s="30"/>
      <c r="B300" s="30"/>
      <c r="C300" s="30"/>
      <c r="D300" s="30"/>
      <c r="E300" s="30"/>
      <c r="F300" s="30"/>
      <c r="G300" s="30"/>
      <c r="H300" s="30"/>
      <c r="I300" s="30"/>
      <c r="J300" s="30"/>
      <c r="K300" s="30"/>
      <c r="L300" s="31"/>
    </row>
    <row r="301" spans="1:12">
      <c r="A301" s="30"/>
      <c r="B301" s="30"/>
      <c r="C301" s="30"/>
      <c r="D301" s="30"/>
      <c r="E301" s="30"/>
      <c r="F301" s="30"/>
      <c r="G301" s="30"/>
      <c r="H301" s="30"/>
      <c r="I301" s="30"/>
      <c r="J301" s="30"/>
      <c r="K301" s="30"/>
      <c r="L301" s="31"/>
    </row>
    <row r="302" spans="1:12">
      <c r="A302" s="30"/>
      <c r="B302" s="30"/>
      <c r="C302" s="30"/>
      <c r="D302" s="30"/>
      <c r="E302" s="30"/>
      <c r="F302" s="30"/>
      <c r="G302" s="30"/>
      <c r="H302" s="30"/>
      <c r="I302" s="30"/>
      <c r="J302" s="30"/>
      <c r="K302" s="30"/>
      <c r="L302" s="31"/>
    </row>
    <row r="303" spans="1:12">
      <c r="A303" s="30"/>
      <c r="B303" s="30"/>
      <c r="C303" s="30"/>
      <c r="D303" s="30"/>
      <c r="E303" s="30"/>
      <c r="F303" s="30"/>
      <c r="G303" s="30"/>
      <c r="H303" s="30"/>
      <c r="I303" s="30"/>
      <c r="J303" s="30"/>
      <c r="K303" s="30"/>
      <c r="L303" s="31"/>
    </row>
    <row r="304" spans="1:12">
      <c r="A304" s="30"/>
      <c r="B304" s="30"/>
      <c r="C304" s="30"/>
      <c r="D304" s="30"/>
      <c r="E304" s="30"/>
      <c r="F304" s="30"/>
      <c r="G304" s="30"/>
      <c r="H304" s="30"/>
      <c r="I304" s="30"/>
      <c r="J304" s="30"/>
      <c r="K304" s="30"/>
      <c r="L304" s="31"/>
    </row>
    <row r="305" spans="1:12">
      <c r="A305" s="30"/>
      <c r="B305" s="30"/>
      <c r="C305" s="30"/>
      <c r="D305" s="30"/>
      <c r="E305" s="30"/>
      <c r="F305" s="30"/>
      <c r="G305" s="30"/>
      <c r="H305" s="30"/>
      <c r="I305" s="30"/>
      <c r="J305" s="30"/>
      <c r="K305" s="30"/>
      <c r="L305" s="31"/>
    </row>
    <row r="306" spans="1:12">
      <c r="A306" s="30"/>
      <c r="B306" s="30"/>
      <c r="C306" s="30"/>
      <c r="D306" s="30"/>
      <c r="E306" s="30"/>
      <c r="F306" s="30"/>
      <c r="G306" s="30"/>
      <c r="H306" s="30"/>
      <c r="I306" s="30"/>
      <c r="J306" s="30"/>
      <c r="K306" s="30"/>
      <c r="L306" s="31"/>
    </row>
    <row r="307" spans="1:12">
      <c r="A307" s="30"/>
      <c r="B307" s="30"/>
      <c r="C307" s="30"/>
      <c r="D307" s="30"/>
      <c r="E307" s="30"/>
      <c r="F307" s="30"/>
      <c r="G307" s="30"/>
      <c r="H307" s="30"/>
      <c r="I307" s="30"/>
      <c r="J307" s="30"/>
      <c r="K307" s="30"/>
      <c r="L307" s="31"/>
    </row>
    <row r="308" spans="1:12">
      <c r="A308" s="30"/>
      <c r="B308" s="30"/>
      <c r="C308" s="30"/>
      <c r="D308" s="30"/>
      <c r="E308" s="30"/>
      <c r="F308" s="30"/>
      <c r="G308" s="30"/>
      <c r="H308" s="30"/>
      <c r="I308" s="30"/>
      <c r="J308" s="30"/>
      <c r="K308" s="30"/>
      <c r="L308" s="31"/>
    </row>
    <row r="309" spans="1:12">
      <c r="A309" s="30"/>
      <c r="B309" s="30"/>
      <c r="C309" s="30"/>
      <c r="D309" s="30"/>
      <c r="E309" s="30"/>
      <c r="F309" s="30"/>
      <c r="G309" s="30"/>
      <c r="H309" s="30"/>
      <c r="I309" s="30"/>
      <c r="J309" s="30"/>
      <c r="K309" s="30"/>
      <c r="L309" s="31"/>
    </row>
    <row r="310" spans="1:12">
      <c r="A310" s="30"/>
      <c r="B310" s="30"/>
      <c r="C310" s="30"/>
      <c r="D310" s="30"/>
      <c r="E310" s="30"/>
      <c r="F310" s="30"/>
      <c r="G310" s="30"/>
      <c r="H310" s="30"/>
      <c r="I310" s="30"/>
      <c r="J310" s="30"/>
      <c r="K310" s="30"/>
      <c r="L310" s="31"/>
    </row>
    <row r="311" spans="1:12">
      <c r="A311" s="30"/>
      <c r="B311" s="30"/>
      <c r="C311" s="30"/>
      <c r="D311" s="30"/>
      <c r="E311" s="30"/>
      <c r="F311" s="30"/>
      <c r="G311" s="30"/>
      <c r="H311" s="30"/>
      <c r="I311" s="30"/>
      <c r="J311" s="30"/>
      <c r="K311" s="30"/>
      <c r="L311" s="31"/>
    </row>
    <row r="312" spans="1:12">
      <c r="A312" s="30"/>
      <c r="B312" s="30"/>
      <c r="C312" s="30"/>
      <c r="D312" s="30"/>
      <c r="E312" s="30"/>
      <c r="F312" s="30"/>
      <c r="G312" s="30"/>
      <c r="H312" s="30"/>
      <c r="I312" s="30"/>
      <c r="J312" s="30"/>
      <c r="K312" s="30"/>
      <c r="L312" s="31"/>
    </row>
    <row r="313" spans="1:12">
      <c r="A313" s="30"/>
      <c r="B313" s="30"/>
      <c r="C313" s="30"/>
      <c r="D313" s="30"/>
      <c r="E313" s="30"/>
      <c r="F313" s="30"/>
      <c r="G313" s="30"/>
      <c r="H313" s="30"/>
      <c r="I313" s="30"/>
      <c r="J313" s="30"/>
      <c r="K313" s="30"/>
      <c r="L313" s="31"/>
    </row>
    <row r="314" spans="1:12">
      <c r="A314" s="30"/>
      <c r="B314" s="30"/>
      <c r="C314" s="30"/>
      <c r="D314" s="30"/>
      <c r="E314" s="30"/>
      <c r="F314" s="30"/>
      <c r="G314" s="30"/>
      <c r="H314" s="30"/>
      <c r="I314" s="30"/>
      <c r="J314" s="30"/>
      <c r="K314" s="30"/>
      <c r="L314" s="31"/>
    </row>
    <row r="315" spans="1:12">
      <c r="A315" s="30"/>
      <c r="B315" s="30"/>
      <c r="C315" s="30"/>
      <c r="D315" s="30"/>
      <c r="E315" s="30"/>
      <c r="F315" s="30"/>
      <c r="G315" s="30"/>
      <c r="H315" s="30"/>
      <c r="I315" s="30"/>
      <c r="J315" s="30"/>
      <c r="K315" s="30"/>
      <c r="L315" s="31"/>
    </row>
    <row r="316" spans="1:12">
      <c r="A316" s="30"/>
      <c r="B316" s="30"/>
      <c r="C316" s="30"/>
      <c r="D316" s="30"/>
      <c r="E316" s="30"/>
      <c r="F316" s="30"/>
      <c r="G316" s="30"/>
      <c r="H316" s="30"/>
      <c r="I316" s="30"/>
      <c r="J316" s="30"/>
      <c r="K316" s="30"/>
      <c r="L316" s="31"/>
    </row>
    <row r="317" spans="1:12">
      <c r="A317" s="30"/>
      <c r="B317" s="30"/>
      <c r="C317" s="30"/>
      <c r="D317" s="30"/>
      <c r="E317" s="30"/>
      <c r="F317" s="30"/>
      <c r="G317" s="30"/>
      <c r="H317" s="30"/>
      <c r="I317" s="30"/>
      <c r="J317" s="30"/>
      <c r="K317" s="30"/>
      <c r="L317" s="31"/>
    </row>
    <row r="318" spans="1:12">
      <c r="A318" s="30"/>
      <c r="B318" s="30"/>
      <c r="C318" s="30"/>
      <c r="D318" s="30"/>
      <c r="E318" s="30"/>
      <c r="F318" s="30"/>
      <c r="G318" s="30"/>
      <c r="H318" s="30"/>
      <c r="I318" s="30"/>
      <c r="J318" s="30"/>
      <c r="K318" s="30"/>
      <c r="L318" s="31"/>
    </row>
    <row r="319" spans="1:12">
      <c r="A319" s="30"/>
      <c r="B319" s="30"/>
      <c r="C319" s="30"/>
      <c r="D319" s="30"/>
      <c r="E319" s="30"/>
      <c r="F319" s="30"/>
      <c r="G319" s="30"/>
      <c r="H319" s="30"/>
      <c r="I319" s="30"/>
      <c r="J319" s="30"/>
      <c r="K319" s="30"/>
      <c r="L319" s="31"/>
    </row>
    <row r="320" spans="1:12">
      <c r="A320" s="30"/>
      <c r="B320" s="30"/>
      <c r="C320" s="30"/>
      <c r="D320" s="30"/>
      <c r="E320" s="30"/>
      <c r="F320" s="30"/>
      <c r="G320" s="30"/>
      <c r="H320" s="30"/>
      <c r="I320" s="30"/>
      <c r="J320" s="30"/>
      <c r="K320" s="30"/>
      <c r="L320" s="31"/>
    </row>
    <row r="321" spans="1:12">
      <c r="A321" s="30"/>
      <c r="B321" s="30"/>
      <c r="C321" s="30"/>
      <c r="D321" s="30"/>
      <c r="E321" s="30"/>
      <c r="F321" s="30"/>
      <c r="G321" s="30"/>
      <c r="H321" s="30"/>
      <c r="I321" s="30"/>
      <c r="J321" s="30"/>
      <c r="K321" s="30"/>
      <c r="L321" s="31"/>
    </row>
    <row r="322" spans="1:12">
      <c r="A322" s="30"/>
      <c r="B322" s="30"/>
      <c r="C322" s="30"/>
      <c r="D322" s="30"/>
      <c r="E322" s="30"/>
      <c r="F322" s="30"/>
      <c r="G322" s="30"/>
      <c r="H322" s="30"/>
      <c r="I322" s="30"/>
      <c r="J322" s="30"/>
      <c r="K322" s="30"/>
      <c r="L322" s="31"/>
    </row>
    <row r="323" spans="1:12">
      <c r="A323" s="30"/>
      <c r="B323" s="30"/>
      <c r="C323" s="30"/>
      <c r="D323" s="30"/>
      <c r="E323" s="30"/>
      <c r="F323" s="30"/>
      <c r="G323" s="30"/>
      <c r="H323" s="30"/>
      <c r="I323" s="30"/>
      <c r="J323" s="30"/>
      <c r="K323" s="30"/>
      <c r="L323" s="31"/>
    </row>
    <row r="324" spans="1:12">
      <c r="A324" s="30"/>
      <c r="B324" s="30"/>
      <c r="C324" s="30"/>
      <c r="D324" s="30"/>
      <c r="E324" s="30"/>
      <c r="F324" s="30"/>
      <c r="G324" s="30"/>
      <c r="H324" s="30"/>
      <c r="I324" s="30"/>
      <c r="J324" s="30"/>
      <c r="K324" s="30"/>
      <c r="L324" s="31"/>
    </row>
    <row r="325" spans="1:12">
      <c r="A325" s="30"/>
      <c r="B325" s="30"/>
      <c r="C325" s="30"/>
      <c r="D325" s="30"/>
      <c r="E325" s="30"/>
      <c r="F325" s="30"/>
      <c r="G325" s="30"/>
      <c r="H325" s="30"/>
      <c r="I325" s="30"/>
      <c r="J325" s="30"/>
      <c r="K325" s="30"/>
      <c r="L325" s="31"/>
    </row>
    <row r="326" spans="1:12">
      <c r="A326" s="30"/>
      <c r="B326" s="30"/>
      <c r="C326" s="30"/>
      <c r="D326" s="30"/>
      <c r="E326" s="30"/>
      <c r="F326" s="30"/>
      <c r="G326" s="30"/>
      <c r="H326" s="30"/>
      <c r="I326" s="30"/>
      <c r="J326" s="30"/>
      <c r="K326" s="30"/>
      <c r="L326" s="31"/>
    </row>
    <row r="327" spans="1:12">
      <c r="A327" s="30"/>
      <c r="B327" s="30"/>
      <c r="C327" s="30"/>
      <c r="D327" s="30"/>
      <c r="E327" s="30"/>
      <c r="F327" s="30"/>
      <c r="G327" s="30"/>
      <c r="H327" s="30"/>
      <c r="I327" s="30"/>
      <c r="J327" s="30"/>
      <c r="K327" s="30"/>
      <c r="L327" s="31"/>
    </row>
    <row r="328" spans="1:12">
      <c r="A328" s="30"/>
      <c r="B328" s="30"/>
      <c r="C328" s="30"/>
      <c r="D328" s="30"/>
      <c r="E328" s="30"/>
      <c r="F328" s="30"/>
      <c r="G328" s="30"/>
      <c r="H328" s="30"/>
      <c r="I328" s="30"/>
      <c r="J328" s="30"/>
      <c r="K328" s="30"/>
      <c r="L328" s="31"/>
    </row>
    <row r="329" spans="1:12">
      <c r="A329" s="30"/>
      <c r="B329" s="30"/>
      <c r="C329" s="30"/>
      <c r="D329" s="30"/>
      <c r="E329" s="30"/>
      <c r="F329" s="30"/>
      <c r="G329" s="30"/>
      <c r="H329" s="30"/>
      <c r="I329" s="30"/>
      <c r="J329" s="30"/>
      <c r="K329" s="30"/>
      <c r="L329" s="31"/>
    </row>
    <row r="330" spans="1:12">
      <c r="A330" s="30"/>
      <c r="B330" s="30"/>
      <c r="C330" s="30"/>
      <c r="D330" s="30"/>
      <c r="E330" s="30"/>
      <c r="F330" s="30"/>
      <c r="G330" s="30"/>
      <c r="H330" s="30"/>
      <c r="I330" s="30"/>
      <c r="J330" s="30"/>
      <c r="K330" s="30"/>
      <c r="L330" s="31"/>
    </row>
    <row r="331" spans="1:12">
      <c r="A331" s="30"/>
      <c r="B331" s="30"/>
      <c r="C331" s="30"/>
      <c r="D331" s="30"/>
      <c r="E331" s="30"/>
      <c r="F331" s="30"/>
      <c r="G331" s="30"/>
      <c r="H331" s="30"/>
      <c r="I331" s="30"/>
      <c r="J331" s="30"/>
      <c r="K331" s="30"/>
      <c r="L331" s="31"/>
    </row>
    <row r="332" spans="1:12">
      <c r="A332" s="30"/>
      <c r="B332" s="30"/>
      <c r="C332" s="30"/>
      <c r="D332" s="30"/>
      <c r="E332" s="30"/>
      <c r="F332" s="30"/>
      <c r="G332" s="30"/>
      <c r="H332" s="30"/>
      <c r="I332" s="30"/>
      <c r="J332" s="30"/>
      <c r="K332" s="30"/>
      <c r="L332" s="31"/>
    </row>
    <row r="333" spans="1:12">
      <c r="A333" s="30"/>
      <c r="B333" s="30"/>
      <c r="C333" s="30"/>
      <c r="D333" s="30"/>
      <c r="E333" s="30"/>
      <c r="F333" s="30"/>
      <c r="G333" s="30"/>
      <c r="H333" s="30"/>
      <c r="I333" s="30"/>
      <c r="J333" s="30"/>
      <c r="K333" s="30"/>
      <c r="L333" s="31"/>
    </row>
    <row r="334" spans="1:12">
      <c r="A334" s="30"/>
      <c r="B334" s="30"/>
      <c r="C334" s="30"/>
      <c r="D334" s="30"/>
      <c r="E334" s="30"/>
      <c r="F334" s="30"/>
      <c r="G334" s="30"/>
      <c r="H334" s="30"/>
      <c r="I334" s="30"/>
      <c r="J334" s="30"/>
      <c r="K334" s="30"/>
      <c r="L334" s="31"/>
    </row>
    <row r="335" spans="1:12">
      <c r="A335" s="30"/>
      <c r="B335" s="30"/>
      <c r="C335" s="30"/>
      <c r="D335" s="30"/>
      <c r="E335" s="30"/>
      <c r="F335" s="30"/>
      <c r="G335" s="30"/>
      <c r="H335" s="30"/>
      <c r="I335" s="30"/>
      <c r="J335" s="30"/>
      <c r="K335" s="30"/>
      <c r="L335" s="31"/>
    </row>
    <row r="336" spans="1:12">
      <c r="A336" s="30"/>
      <c r="B336" s="30"/>
      <c r="C336" s="30"/>
      <c r="D336" s="30"/>
      <c r="E336" s="30"/>
      <c r="F336" s="30"/>
      <c r="G336" s="30"/>
      <c r="H336" s="30"/>
      <c r="I336" s="30"/>
      <c r="J336" s="30"/>
      <c r="K336" s="30"/>
      <c r="L336" s="31"/>
    </row>
    <row r="337" spans="1:12">
      <c r="A337" s="30"/>
      <c r="B337" s="30"/>
      <c r="C337" s="30"/>
      <c r="D337" s="30"/>
      <c r="E337" s="30"/>
      <c r="F337" s="30"/>
      <c r="G337" s="30"/>
      <c r="H337" s="30"/>
      <c r="I337" s="30"/>
      <c r="J337" s="30"/>
      <c r="K337" s="30"/>
      <c r="L337" s="31"/>
    </row>
    <row r="338" spans="1:12">
      <c r="A338" s="30"/>
      <c r="B338" s="30"/>
      <c r="C338" s="30"/>
      <c r="D338" s="30"/>
      <c r="E338" s="30"/>
      <c r="F338" s="30"/>
      <c r="G338" s="30"/>
      <c r="H338" s="30"/>
      <c r="I338" s="30"/>
      <c r="J338" s="30"/>
      <c r="K338" s="30"/>
      <c r="L338" s="31"/>
    </row>
    <row r="339" spans="1:12">
      <c r="A339" s="30"/>
      <c r="B339" s="30"/>
      <c r="C339" s="30"/>
      <c r="D339" s="30"/>
      <c r="E339" s="30"/>
      <c r="F339" s="30"/>
      <c r="G339" s="30"/>
      <c r="H339" s="30"/>
      <c r="I339" s="30"/>
      <c r="J339" s="30"/>
      <c r="K339" s="30"/>
      <c r="L339" s="31"/>
    </row>
    <row r="340" spans="1:12">
      <c r="A340" s="30"/>
      <c r="B340" s="30"/>
      <c r="C340" s="30"/>
      <c r="D340" s="30"/>
      <c r="E340" s="30"/>
      <c r="F340" s="30"/>
      <c r="G340" s="30"/>
      <c r="H340" s="30"/>
      <c r="I340" s="30"/>
      <c r="J340" s="30"/>
      <c r="K340" s="30"/>
      <c r="L340" s="31"/>
    </row>
    <row r="341" spans="1:12">
      <c r="A341" s="30"/>
      <c r="B341" s="30"/>
      <c r="C341" s="30"/>
      <c r="D341" s="30"/>
      <c r="E341" s="30"/>
      <c r="F341" s="30"/>
      <c r="G341" s="30"/>
      <c r="H341" s="30"/>
      <c r="I341" s="30"/>
      <c r="J341" s="30"/>
      <c r="K341" s="30"/>
      <c r="L341" s="31"/>
    </row>
    <row r="342" spans="1:12">
      <c r="A342" s="30"/>
      <c r="B342" s="30"/>
      <c r="C342" s="30"/>
      <c r="D342" s="30"/>
      <c r="E342" s="30"/>
      <c r="F342" s="30"/>
      <c r="G342" s="30"/>
      <c r="H342" s="30"/>
      <c r="I342" s="30"/>
      <c r="J342" s="30"/>
      <c r="K342" s="30"/>
      <c r="L342" s="31"/>
    </row>
    <row r="343" spans="1:12">
      <c r="A343" s="30"/>
      <c r="B343" s="30"/>
      <c r="C343" s="30"/>
      <c r="D343" s="30"/>
      <c r="E343" s="30"/>
      <c r="F343" s="30"/>
      <c r="G343" s="30"/>
      <c r="H343" s="30"/>
      <c r="I343" s="30"/>
      <c r="J343" s="30"/>
      <c r="K343" s="30"/>
      <c r="L343" s="31"/>
    </row>
    <row r="344" spans="1:12">
      <c r="A344" s="30"/>
      <c r="B344" s="30"/>
      <c r="C344" s="30"/>
      <c r="D344" s="30"/>
      <c r="E344" s="30"/>
      <c r="F344" s="30"/>
      <c r="G344" s="30"/>
      <c r="H344" s="30"/>
      <c r="I344" s="30"/>
      <c r="J344" s="30"/>
      <c r="K344" s="30"/>
      <c r="L344" s="31"/>
    </row>
    <row r="345" spans="1:12">
      <c r="A345" s="30"/>
      <c r="B345" s="30"/>
      <c r="C345" s="30"/>
      <c r="D345" s="30"/>
      <c r="E345" s="30"/>
      <c r="F345" s="30"/>
      <c r="G345" s="30"/>
      <c r="H345" s="30"/>
      <c r="I345" s="30"/>
      <c r="J345" s="30"/>
      <c r="K345" s="30"/>
      <c r="L345" s="31"/>
    </row>
    <row r="346" spans="1:12">
      <c r="A346" s="30"/>
      <c r="B346" s="30"/>
      <c r="C346" s="30"/>
      <c r="D346" s="30"/>
      <c r="E346" s="30"/>
      <c r="F346" s="30"/>
      <c r="G346" s="30"/>
      <c r="H346" s="30"/>
      <c r="I346" s="30"/>
      <c r="J346" s="30"/>
      <c r="K346" s="30"/>
      <c r="L346" s="31"/>
    </row>
    <row r="347" spans="1:12">
      <c r="A347" s="30"/>
      <c r="B347" s="30"/>
      <c r="C347" s="30"/>
      <c r="D347" s="30"/>
      <c r="E347" s="30"/>
      <c r="F347" s="30"/>
      <c r="G347" s="30"/>
      <c r="H347" s="30"/>
      <c r="I347" s="30"/>
      <c r="J347" s="30"/>
      <c r="K347" s="30"/>
      <c r="L347" s="31"/>
    </row>
    <row r="348" spans="1:12">
      <c r="A348" s="30"/>
      <c r="B348" s="30"/>
      <c r="C348" s="30"/>
      <c r="D348" s="30"/>
      <c r="E348" s="30"/>
      <c r="F348" s="30"/>
      <c r="G348" s="30"/>
      <c r="H348" s="30"/>
      <c r="I348" s="30"/>
      <c r="J348" s="30"/>
      <c r="K348" s="30"/>
      <c r="L348" s="31"/>
    </row>
    <row r="349" spans="1:12">
      <c r="A349" s="30"/>
      <c r="B349" s="30"/>
      <c r="C349" s="30"/>
      <c r="D349" s="30"/>
      <c r="E349" s="30"/>
      <c r="F349" s="30"/>
      <c r="G349" s="30"/>
      <c r="H349" s="30"/>
      <c r="I349" s="30"/>
      <c r="J349" s="30"/>
      <c r="K349" s="30"/>
      <c r="L349" s="31"/>
    </row>
    <row r="350" spans="1:12">
      <c r="A350" s="30"/>
      <c r="B350" s="30"/>
      <c r="C350" s="30"/>
      <c r="D350" s="30"/>
      <c r="E350" s="30"/>
      <c r="F350" s="30"/>
      <c r="G350" s="30"/>
      <c r="H350" s="30"/>
      <c r="I350" s="30"/>
      <c r="J350" s="30"/>
      <c r="K350" s="30"/>
      <c r="L350" s="31"/>
    </row>
    <row r="351" spans="1:12">
      <c r="A351" s="30"/>
      <c r="B351" s="30"/>
      <c r="C351" s="30"/>
      <c r="D351" s="30"/>
      <c r="E351" s="30"/>
      <c r="F351" s="30"/>
      <c r="G351" s="30"/>
      <c r="H351" s="30"/>
      <c r="I351" s="30"/>
      <c r="J351" s="30"/>
      <c r="K351" s="30"/>
      <c r="L351" s="31"/>
    </row>
    <row r="352" spans="1:12">
      <c r="A352" s="30"/>
      <c r="B352" s="30"/>
      <c r="C352" s="30"/>
      <c r="D352" s="30"/>
      <c r="E352" s="30"/>
      <c r="F352" s="30"/>
      <c r="G352" s="30"/>
      <c r="H352" s="30"/>
      <c r="I352" s="30"/>
      <c r="J352" s="30"/>
      <c r="K352" s="30"/>
      <c r="L352" s="31"/>
    </row>
    <row r="353" spans="1:12">
      <c r="A353" s="30"/>
      <c r="B353" s="30"/>
      <c r="C353" s="30"/>
      <c r="D353" s="30"/>
      <c r="E353" s="30"/>
      <c r="F353" s="30"/>
      <c r="G353" s="30"/>
      <c r="H353" s="30"/>
      <c r="I353" s="30"/>
      <c r="J353" s="30"/>
      <c r="K353" s="30"/>
      <c r="L353" s="31"/>
    </row>
    <row r="354" spans="1:12">
      <c r="A354" s="30"/>
      <c r="B354" s="30"/>
      <c r="C354" s="30"/>
      <c r="D354" s="30"/>
      <c r="E354" s="30"/>
      <c r="F354" s="30"/>
      <c r="G354" s="30"/>
      <c r="H354" s="30"/>
      <c r="I354" s="30"/>
      <c r="J354" s="30"/>
      <c r="K354" s="30"/>
      <c r="L354" s="31"/>
    </row>
    <row r="355" spans="1:12">
      <c r="A355" s="30"/>
      <c r="B355" s="30"/>
      <c r="C355" s="30"/>
      <c r="D355" s="30"/>
      <c r="E355" s="30"/>
      <c r="F355" s="30"/>
      <c r="G355" s="30"/>
      <c r="H355" s="30"/>
      <c r="I355" s="30"/>
      <c r="J355" s="30"/>
      <c r="K355" s="30"/>
      <c r="L355" s="31"/>
    </row>
    <row r="356" spans="1:12">
      <c r="A356" s="30"/>
      <c r="B356" s="30"/>
      <c r="C356" s="30"/>
      <c r="D356" s="30"/>
      <c r="E356" s="30"/>
      <c r="F356" s="30"/>
      <c r="G356" s="30"/>
      <c r="H356" s="30"/>
      <c r="I356" s="30"/>
      <c r="J356" s="30"/>
      <c r="K356" s="30"/>
      <c r="L356" s="31"/>
    </row>
    <row r="357" spans="1:12">
      <c r="A357" s="30"/>
      <c r="B357" s="30"/>
      <c r="C357" s="30"/>
      <c r="D357" s="30"/>
      <c r="E357" s="30"/>
      <c r="F357" s="30"/>
      <c r="G357" s="30"/>
      <c r="H357" s="30"/>
      <c r="I357" s="30"/>
      <c r="J357" s="30"/>
      <c r="K357" s="30"/>
      <c r="L357" s="31"/>
    </row>
    <row r="358" spans="1:12">
      <c r="A358" s="30"/>
      <c r="B358" s="30"/>
      <c r="C358" s="30"/>
      <c r="D358" s="30"/>
      <c r="E358" s="30"/>
      <c r="F358" s="30"/>
      <c r="G358" s="30"/>
      <c r="H358" s="30"/>
      <c r="I358" s="30"/>
      <c r="J358" s="30"/>
      <c r="K358" s="30"/>
      <c r="L358" s="31"/>
    </row>
    <row r="359" spans="1:12">
      <c r="A359" s="30"/>
      <c r="B359" s="30"/>
      <c r="C359" s="30"/>
      <c r="D359" s="30"/>
      <c r="E359" s="30"/>
      <c r="F359" s="30"/>
      <c r="G359" s="30"/>
      <c r="H359" s="30"/>
      <c r="I359" s="30"/>
      <c r="J359" s="30"/>
      <c r="K359" s="30"/>
      <c r="L359" s="31"/>
    </row>
    <row r="360" spans="1:12">
      <c r="A360" s="30"/>
      <c r="B360" s="30"/>
      <c r="C360" s="30"/>
      <c r="D360" s="30"/>
      <c r="E360" s="30"/>
      <c r="F360" s="30"/>
      <c r="G360" s="30"/>
      <c r="H360" s="30"/>
      <c r="I360" s="30"/>
      <c r="J360" s="30"/>
      <c r="K360" s="30"/>
      <c r="L360" s="31"/>
    </row>
    <row r="361" spans="1:12">
      <c r="A361" s="30"/>
      <c r="B361" s="30"/>
      <c r="C361" s="30"/>
      <c r="D361" s="30"/>
      <c r="E361" s="30"/>
      <c r="F361" s="30"/>
      <c r="G361" s="30"/>
      <c r="H361" s="30"/>
      <c r="I361" s="30"/>
      <c r="J361" s="30"/>
      <c r="K361" s="30"/>
      <c r="L361" s="31"/>
    </row>
    <row r="362" spans="1:12">
      <c r="A362" s="30"/>
      <c r="B362" s="30"/>
      <c r="C362" s="30"/>
      <c r="D362" s="30"/>
      <c r="E362" s="30"/>
      <c r="F362" s="30"/>
      <c r="G362" s="30"/>
      <c r="H362" s="30"/>
      <c r="I362" s="30"/>
      <c r="J362" s="30"/>
      <c r="K362" s="30"/>
      <c r="L362" s="31"/>
    </row>
    <row r="363" spans="1:12">
      <c r="A363" s="30"/>
      <c r="B363" s="30"/>
      <c r="C363" s="30"/>
      <c r="D363" s="30"/>
      <c r="E363" s="30"/>
      <c r="F363" s="30"/>
      <c r="G363" s="30"/>
      <c r="H363" s="30"/>
      <c r="I363" s="30"/>
      <c r="J363" s="30"/>
      <c r="K363" s="30"/>
      <c r="L363" s="31"/>
    </row>
    <row r="364" spans="1:12">
      <c r="A364" s="30"/>
      <c r="B364" s="30"/>
      <c r="C364" s="30"/>
      <c r="D364" s="30"/>
      <c r="E364" s="30"/>
      <c r="F364" s="30"/>
      <c r="G364" s="30"/>
      <c r="H364" s="30"/>
      <c r="I364" s="30"/>
      <c r="J364" s="30"/>
      <c r="K364" s="30"/>
      <c r="L364" s="31"/>
    </row>
    <row r="365" spans="1:12">
      <c r="A365" s="30"/>
      <c r="B365" s="30"/>
      <c r="C365" s="30"/>
      <c r="D365" s="30"/>
      <c r="E365" s="30"/>
      <c r="F365" s="30"/>
      <c r="G365" s="30"/>
      <c r="H365" s="30"/>
      <c r="I365" s="30"/>
      <c r="J365" s="30"/>
      <c r="K365" s="30"/>
      <c r="L365" s="31"/>
    </row>
    <row r="366" spans="1:12">
      <c r="A366" s="30"/>
      <c r="B366" s="30"/>
      <c r="C366" s="30"/>
      <c r="D366" s="30"/>
      <c r="E366" s="30"/>
      <c r="F366" s="30"/>
      <c r="G366" s="30"/>
      <c r="H366" s="30"/>
      <c r="I366" s="30"/>
      <c r="J366" s="30"/>
      <c r="K366" s="30"/>
      <c r="L366" s="31"/>
    </row>
    <row r="367" spans="1:12">
      <c r="A367" s="30"/>
      <c r="B367" s="30"/>
      <c r="C367" s="30"/>
      <c r="D367" s="30"/>
      <c r="E367" s="30"/>
      <c r="F367" s="30"/>
      <c r="G367" s="30"/>
      <c r="H367" s="30"/>
      <c r="I367" s="30"/>
      <c r="J367" s="30"/>
      <c r="K367" s="30"/>
      <c r="L367" s="31"/>
    </row>
    <row r="368" spans="1:12">
      <c r="A368" s="30"/>
      <c r="B368" s="30"/>
      <c r="C368" s="30"/>
      <c r="D368" s="30"/>
      <c r="E368" s="30"/>
      <c r="F368" s="30"/>
      <c r="G368" s="30"/>
      <c r="H368" s="30"/>
      <c r="I368" s="30"/>
      <c r="J368" s="30"/>
      <c r="K368" s="30"/>
      <c r="L368" s="31"/>
    </row>
    <row r="369" spans="1:12">
      <c r="A369" s="30"/>
      <c r="B369" s="30"/>
      <c r="C369" s="30"/>
      <c r="D369" s="30"/>
      <c r="E369" s="30"/>
      <c r="F369" s="30"/>
      <c r="G369" s="30"/>
      <c r="H369" s="30"/>
      <c r="I369" s="30"/>
      <c r="J369" s="30"/>
      <c r="K369" s="30"/>
      <c r="L369" s="31"/>
    </row>
    <row r="370" spans="1:12">
      <c r="A370" s="30"/>
      <c r="B370" s="30"/>
      <c r="C370" s="30"/>
      <c r="D370" s="30"/>
      <c r="E370" s="30"/>
      <c r="F370" s="30"/>
      <c r="G370" s="30"/>
      <c r="H370" s="30"/>
      <c r="I370" s="30"/>
      <c r="J370" s="30"/>
      <c r="K370" s="30"/>
      <c r="L370" s="31"/>
    </row>
    <row r="371" spans="1:12">
      <c r="A371" s="30"/>
      <c r="B371" s="30"/>
      <c r="C371" s="30"/>
      <c r="D371" s="30"/>
      <c r="E371" s="30"/>
      <c r="F371" s="30"/>
      <c r="G371" s="30"/>
      <c r="H371" s="30"/>
      <c r="I371" s="30"/>
      <c r="J371" s="30"/>
      <c r="K371" s="30"/>
      <c r="L371" s="31"/>
    </row>
    <row r="372" spans="1:12">
      <c r="A372" s="30"/>
      <c r="B372" s="30"/>
      <c r="C372" s="30"/>
      <c r="D372" s="30"/>
      <c r="E372" s="30"/>
      <c r="F372" s="30"/>
      <c r="G372" s="30"/>
      <c r="H372" s="30"/>
      <c r="I372" s="30"/>
      <c r="J372" s="30"/>
      <c r="K372" s="30"/>
      <c r="L372" s="31"/>
    </row>
    <row r="373" spans="1:12">
      <c r="A373" s="30"/>
      <c r="B373" s="30"/>
      <c r="C373" s="30"/>
      <c r="D373" s="30"/>
      <c r="E373" s="30"/>
      <c r="F373" s="30"/>
      <c r="G373" s="30"/>
      <c r="H373" s="30"/>
      <c r="I373" s="30"/>
      <c r="J373" s="30"/>
      <c r="K373" s="30"/>
      <c r="L373" s="31"/>
    </row>
    <row r="374" spans="1:12">
      <c r="A374" s="30"/>
      <c r="B374" s="30"/>
      <c r="C374" s="30"/>
      <c r="D374" s="30"/>
      <c r="E374" s="30"/>
      <c r="F374" s="30"/>
      <c r="G374" s="30"/>
      <c r="H374" s="30"/>
      <c r="I374" s="30"/>
      <c r="J374" s="30"/>
      <c r="K374" s="30"/>
      <c r="L374" s="31"/>
    </row>
    <row r="375" spans="1:12">
      <c r="A375" s="30"/>
      <c r="B375" s="30"/>
      <c r="C375" s="30"/>
      <c r="D375" s="30"/>
      <c r="E375" s="30"/>
      <c r="F375" s="30"/>
      <c r="G375" s="30"/>
      <c r="H375" s="30"/>
      <c r="I375" s="30"/>
      <c r="J375" s="30"/>
      <c r="K375" s="30"/>
      <c r="L375" s="31"/>
    </row>
    <row r="376" spans="1:12">
      <c r="A376" s="30"/>
      <c r="B376" s="30"/>
      <c r="C376" s="30"/>
      <c r="D376" s="30"/>
      <c r="E376" s="30"/>
      <c r="F376" s="30"/>
      <c r="G376" s="30"/>
      <c r="H376" s="30"/>
      <c r="I376" s="30"/>
      <c r="J376" s="30"/>
      <c r="K376" s="30"/>
      <c r="L376" s="31"/>
    </row>
    <row r="377" spans="1:12">
      <c r="A377" s="30"/>
      <c r="B377" s="30"/>
      <c r="C377" s="30"/>
      <c r="D377" s="30"/>
      <c r="E377" s="30"/>
      <c r="F377" s="30"/>
      <c r="G377" s="30"/>
      <c r="H377" s="30"/>
      <c r="I377" s="30"/>
      <c r="J377" s="30"/>
      <c r="K377" s="30"/>
      <c r="L377" s="31"/>
    </row>
    <row r="378" spans="1:12">
      <c r="A378" s="30"/>
      <c r="B378" s="30"/>
      <c r="C378" s="30"/>
      <c r="D378" s="30"/>
      <c r="E378" s="30"/>
      <c r="F378" s="30"/>
      <c r="G378" s="30"/>
      <c r="H378" s="30"/>
      <c r="I378" s="30"/>
      <c r="J378" s="30"/>
      <c r="K378" s="30"/>
      <c r="L378" s="31"/>
    </row>
    <row r="379" spans="1:12">
      <c r="A379" s="30"/>
      <c r="B379" s="30"/>
      <c r="C379" s="30"/>
      <c r="D379" s="30"/>
      <c r="E379" s="30"/>
      <c r="F379" s="30"/>
      <c r="G379" s="30"/>
      <c r="H379" s="30"/>
      <c r="I379" s="30"/>
      <c r="J379" s="30"/>
      <c r="K379" s="30"/>
      <c r="L379" s="31"/>
    </row>
    <row r="380" spans="1:12">
      <c r="A380" s="30"/>
      <c r="B380" s="30"/>
      <c r="C380" s="30"/>
      <c r="D380" s="30"/>
      <c r="E380" s="30"/>
      <c r="F380" s="30"/>
      <c r="G380" s="30"/>
      <c r="H380" s="30"/>
      <c r="I380" s="30"/>
      <c r="J380" s="30"/>
      <c r="K380" s="30"/>
      <c r="L380" s="31"/>
    </row>
    <row r="381" spans="1:12">
      <c r="A381" s="30"/>
      <c r="B381" s="30"/>
      <c r="C381" s="30"/>
      <c r="D381" s="30"/>
      <c r="E381" s="30"/>
      <c r="F381" s="30"/>
      <c r="G381" s="30"/>
      <c r="H381" s="30"/>
      <c r="I381" s="30"/>
      <c r="J381" s="30"/>
      <c r="K381" s="30"/>
      <c r="L381" s="31"/>
    </row>
    <row r="382" spans="1:12">
      <c r="A382" s="30"/>
      <c r="B382" s="30"/>
      <c r="C382" s="30"/>
      <c r="D382" s="30"/>
      <c r="E382" s="30"/>
      <c r="F382" s="30"/>
      <c r="G382" s="30"/>
      <c r="H382" s="30"/>
      <c r="I382" s="30"/>
      <c r="J382" s="30"/>
      <c r="K382" s="30"/>
      <c r="L382" s="31"/>
    </row>
    <row r="383" spans="1:12">
      <c r="A383" s="30"/>
      <c r="B383" s="30"/>
      <c r="C383" s="30"/>
      <c r="D383" s="30"/>
      <c r="E383" s="30"/>
      <c r="F383" s="30"/>
      <c r="G383" s="30"/>
      <c r="H383" s="30"/>
      <c r="I383" s="30"/>
      <c r="J383" s="30"/>
      <c r="K383" s="30"/>
      <c r="L383" s="31"/>
    </row>
    <row r="384" spans="1:12">
      <c r="A384" s="30"/>
      <c r="B384" s="30"/>
      <c r="C384" s="30"/>
      <c r="D384" s="30"/>
      <c r="E384" s="30"/>
      <c r="F384" s="30"/>
      <c r="G384" s="30"/>
      <c r="H384" s="30"/>
      <c r="I384" s="30"/>
      <c r="J384" s="30"/>
      <c r="K384" s="30"/>
      <c r="L384" s="31"/>
    </row>
    <row r="385" spans="1:12">
      <c r="A385" s="30"/>
      <c r="B385" s="30"/>
      <c r="C385" s="30"/>
      <c r="D385" s="30"/>
      <c r="E385" s="30"/>
      <c r="F385" s="30"/>
      <c r="G385" s="30"/>
      <c r="H385" s="30"/>
      <c r="I385" s="30"/>
      <c r="J385" s="30"/>
      <c r="K385" s="30"/>
      <c r="L385" s="31"/>
    </row>
    <row r="386" spans="1:12">
      <c r="A386" s="30"/>
      <c r="B386" s="30"/>
      <c r="C386" s="30"/>
      <c r="D386" s="30"/>
      <c r="E386" s="30"/>
      <c r="F386" s="30"/>
      <c r="G386" s="30"/>
      <c r="H386" s="30"/>
      <c r="I386" s="30"/>
      <c r="J386" s="30"/>
      <c r="K386" s="30"/>
      <c r="L386" s="31"/>
    </row>
    <row r="387" spans="1:12">
      <c r="A387" s="30"/>
      <c r="B387" s="30"/>
      <c r="C387" s="30"/>
      <c r="D387" s="30"/>
      <c r="E387" s="30"/>
      <c r="F387" s="30"/>
      <c r="G387" s="30"/>
      <c r="H387" s="30"/>
      <c r="I387" s="30"/>
      <c r="J387" s="30"/>
      <c r="K387" s="30"/>
      <c r="L387" s="31"/>
    </row>
    <row r="388" spans="1:12">
      <c r="A388" s="30"/>
      <c r="B388" s="30"/>
      <c r="C388" s="30"/>
      <c r="D388" s="30"/>
      <c r="E388" s="30"/>
      <c r="F388" s="30"/>
      <c r="G388" s="30"/>
      <c r="H388" s="30"/>
      <c r="I388" s="30"/>
      <c r="J388" s="30"/>
      <c r="K388" s="30"/>
      <c r="L388" s="31"/>
    </row>
    <row r="389" spans="1:12">
      <c r="A389" s="30"/>
      <c r="B389" s="30"/>
      <c r="C389" s="30"/>
      <c r="D389" s="30"/>
      <c r="E389" s="30"/>
      <c r="F389" s="30"/>
      <c r="G389" s="30"/>
      <c r="H389" s="30"/>
      <c r="I389" s="30"/>
      <c r="J389" s="30"/>
      <c r="K389" s="30"/>
      <c r="L389" s="31"/>
    </row>
    <row r="390" spans="1:12">
      <c r="A390" s="30"/>
      <c r="B390" s="30"/>
      <c r="C390" s="30"/>
      <c r="D390" s="30"/>
      <c r="E390" s="30"/>
      <c r="F390" s="30"/>
      <c r="G390" s="30"/>
      <c r="H390" s="30"/>
      <c r="I390" s="30"/>
      <c r="J390" s="30"/>
      <c r="K390" s="30"/>
      <c r="L390" s="31"/>
    </row>
    <row r="391" spans="1:12">
      <c r="A391" s="30"/>
      <c r="B391" s="30"/>
      <c r="C391" s="30"/>
      <c r="D391" s="30"/>
      <c r="E391" s="30"/>
      <c r="F391" s="30"/>
      <c r="G391" s="30"/>
      <c r="H391" s="30"/>
      <c r="I391" s="30"/>
      <c r="J391" s="30"/>
      <c r="K391" s="30"/>
      <c r="L391" s="31"/>
    </row>
    <row r="392" spans="1:12">
      <c r="A392" s="30"/>
      <c r="B392" s="30"/>
      <c r="C392" s="30"/>
      <c r="D392" s="30"/>
      <c r="E392" s="30"/>
      <c r="F392" s="30"/>
      <c r="G392" s="30"/>
      <c r="H392" s="30"/>
      <c r="I392" s="30"/>
      <c r="J392" s="30"/>
      <c r="K392" s="30"/>
      <c r="L392" s="31"/>
    </row>
    <row r="393" spans="1:12">
      <c r="A393" s="30"/>
      <c r="B393" s="30"/>
      <c r="C393" s="30"/>
      <c r="D393" s="30"/>
      <c r="E393" s="30"/>
      <c r="F393" s="30"/>
      <c r="G393" s="30"/>
      <c r="H393" s="30"/>
      <c r="I393" s="30"/>
      <c r="J393" s="30"/>
      <c r="K393" s="30"/>
      <c r="L393" s="31"/>
    </row>
    <row r="394" spans="1:12">
      <c r="A394" s="30"/>
      <c r="B394" s="30"/>
      <c r="C394" s="30"/>
      <c r="D394" s="30"/>
      <c r="E394" s="30"/>
      <c r="F394" s="30"/>
      <c r="G394" s="30"/>
      <c r="H394" s="30"/>
      <c r="I394" s="30"/>
      <c r="J394" s="30"/>
      <c r="K394" s="30"/>
      <c r="L394" s="31"/>
    </row>
    <row r="395" spans="1:12">
      <c r="A395" s="30"/>
      <c r="B395" s="30"/>
      <c r="C395" s="30"/>
      <c r="D395" s="30"/>
      <c r="E395" s="30"/>
      <c r="F395" s="30"/>
      <c r="G395" s="30"/>
      <c r="H395" s="30"/>
      <c r="I395" s="30"/>
      <c r="J395" s="30"/>
      <c r="K395" s="30"/>
      <c r="L395" s="31"/>
    </row>
    <row r="396" spans="1:12">
      <c r="A396" s="30"/>
      <c r="B396" s="30"/>
      <c r="C396" s="30"/>
      <c r="D396" s="30"/>
      <c r="E396" s="30"/>
      <c r="F396" s="30"/>
      <c r="G396" s="30"/>
      <c r="H396" s="30"/>
      <c r="I396" s="30"/>
      <c r="J396" s="30"/>
      <c r="K396" s="30"/>
      <c r="L396" s="31"/>
    </row>
    <row r="397" spans="1:12">
      <c r="A397" s="30"/>
      <c r="B397" s="30"/>
      <c r="C397" s="30"/>
      <c r="D397" s="30"/>
      <c r="E397" s="30"/>
      <c r="F397" s="30"/>
      <c r="G397" s="30"/>
      <c r="H397" s="30"/>
      <c r="I397" s="30"/>
      <c r="J397" s="30"/>
      <c r="K397" s="30"/>
      <c r="L397" s="31"/>
    </row>
    <row r="398" spans="1:12">
      <c r="A398" s="30"/>
      <c r="B398" s="30"/>
      <c r="C398" s="30"/>
      <c r="D398" s="30"/>
      <c r="E398" s="30"/>
      <c r="F398" s="30"/>
      <c r="G398" s="30"/>
      <c r="H398" s="30"/>
      <c r="I398" s="30"/>
      <c r="J398" s="30"/>
      <c r="K398" s="30"/>
      <c r="L398" s="31"/>
    </row>
    <row r="399" spans="1:12">
      <c r="A399" s="30"/>
      <c r="B399" s="30"/>
      <c r="C399" s="30"/>
      <c r="D399" s="30"/>
      <c r="E399" s="30"/>
      <c r="F399" s="30"/>
      <c r="G399" s="30"/>
      <c r="H399" s="30"/>
      <c r="I399" s="30"/>
      <c r="J399" s="30"/>
      <c r="K399" s="30"/>
      <c r="L399" s="31"/>
    </row>
    <row r="400" spans="1:12">
      <c r="A400" s="30"/>
      <c r="B400" s="30"/>
      <c r="C400" s="30"/>
      <c r="D400" s="30"/>
      <c r="E400" s="30"/>
      <c r="F400" s="30"/>
      <c r="G400" s="30"/>
      <c r="H400" s="30"/>
      <c r="I400" s="30"/>
      <c r="J400" s="30"/>
      <c r="K400" s="30"/>
      <c r="L400" s="31"/>
    </row>
    <row r="401" spans="1:12">
      <c r="A401" s="30"/>
      <c r="B401" s="30"/>
      <c r="C401" s="30"/>
      <c r="D401" s="30"/>
      <c r="E401" s="30"/>
      <c r="F401" s="30"/>
      <c r="G401" s="30"/>
      <c r="H401" s="30"/>
      <c r="I401" s="30"/>
      <c r="J401" s="30"/>
      <c r="K401" s="30"/>
      <c r="L401" s="31"/>
    </row>
    <row r="402" spans="1:12">
      <c r="A402" s="30"/>
      <c r="B402" s="30"/>
      <c r="C402" s="30"/>
      <c r="D402" s="30"/>
      <c r="E402" s="30"/>
      <c r="F402" s="30"/>
      <c r="G402" s="30"/>
      <c r="H402" s="30"/>
      <c r="I402" s="30"/>
      <c r="J402" s="30"/>
      <c r="K402" s="30"/>
      <c r="L402" s="31"/>
    </row>
    <row r="403" spans="1:12">
      <c r="A403" s="30"/>
      <c r="B403" s="30"/>
      <c r="C403" s="30"/>
      <c r="D403" s="30"/>
      <c r="E403" s="30"/>
      <c r="F403" s="30"/>
      <c r="G403" s="30"/>
      <c r="H403" s="30"/>
      <c r="I403" s="30"/>
      <c r="J403" s="30"/>
      <c r="K403" s="30"/>
      <c r="L403" s="31"/>
    </row>
    <row r="404" spans="1:12">
      <c r="A404" s="30"/>
      <c r="B404" s="30"/>
      <c r="C404" s="30"/>
      <c r="D404" s="30"/>
      <c r="E404" s="30"/>
      <c r="F404" s="30"/>
      <c r="G404" s="30"/>
      <c r="H404" s="30"/>
      <c r="I404" s="30"/>
      <c r="J404" s="30"/>
      <c r="K404" s="30"/>
      <c r="L404" s="31"/>
    </row>
    <row r="405" spans="1:12">
      <c r="A405" s="30"/>
      <c r="B405" s="30"/>
      <c r="C405" s="30"/>
      <c r="D405" s="30"/>
      <c r="E405" s="30"/>
      <c r="F405" s="30"/>
      <c r="G405" s="30"/>
      <c r="H405" s="30"/>
      <c r="I405" s="30"/>
      <c r="J405" s="30"/>
      <c r="K405" s="30"/>
      <c r="L405" s="31"/>
    </row>
    <row r="406" spans="1:12">
      <c r="A406" s="30"/>
      <c r="B406" s="30"/>
      <c r="C406" s="30"/>
      <c r="D406" s="30"/>
      <c r="E406" s="30"/>
      <c r="F406" s="30"/>
      <c r="G406" s="30"/>
      <c r="H406" s="30"/>
      <c r="I406" s="30"/>
      <c r="J406" s="30"/>
      <c r="K406" s="30"/>
      <c r="L406" s="31"/>
    </row>
    <row r="407" spans="1:12">
      <c r="A407" s="30"/>
      <c r="B407" s="30"/>
      <c r="C407" s="30"/>
      <c r="D407" s="30"/>
      <c r="E407" s="30"/>
      <c r="F407" s="30"/>
      <c r="G407" s="30"/>
      <c r="H407" s="30"/>
      <c r="I407" s="30"/>
      <c r="J407" s="30"/>
      <c r="K407" s="30"/>
      <c r="L407" s="31"/>
    </row>
    <row r="408" spans="1:12">
      <c r="A408" s="30"/>
      <c r="B408" s="30"/>
      <c r="C408" s="30"/>
      <c r="D408" s="30"/>
      <c r="E408" s="30"/>
      <c r="F408" s="30"/>
      <c r="G408" s="30"/>
      <c r="H408" s="30"/>
      <c r="I408" s="30"/>
      <c r="J408" s="30"/>
      <c r="K408" s="30"/>
      <c r="L408" s="31"/>
    </row>
    <row r="409" spans="1:12">
      <c r="A409" s="30"/>
      <c r="B409" s="30"/>
      <c r="C409" s="30"/>
      <c r="D409" s="30"/>
      <c r="E409" s="30"/>
      <c r="F409" s="30"/>
      <c r="G409" s="30"/>
      <c r="H409" s="30"/>
      <c r="I409" s="30"/>
      <c r="J409" s="30"/>
      <c r="K409" s="30"/>
      <c r="L409" s="31"/>
    </row>
    <row r="410" spans="1:12">
      <c r="A410" s="30"/>
      <c r="B410" s="30"/>
      <c r="C410" s="30"/>
      <c r="D410" s="30"/>
      <c r="E410" s="30"/>
      <c r="F410" s="30"/>
      <c r="G410" s="30"/>
      <c r="H410" s="30"/>
      <c r="I410" s="30"/>
      <c r="J410" s="30"/>
      <c r="K410" s="30"/>
      <c r="L410" s="31"/>
    </row>
    <row r="411" spans="1:12">
      <c r="A411" s="30"/>
      <c r="B411" s="30"/>
      <c r="C411" s="30"/>
      <c r="D411" s="30"/>
      <c r="E411" s="30"/>
      <c r="F411" s="30"/>
      <c r="G411" s="30"/>
      <c r="H411" s="30"/>
      <c r="I411" s="30"/>
      <c r="J411" s="30"/>
      <c r="K411" s="30"/>
      <c r="L411" s="31"/>
    </row>
    <row r="412" spans="1:12">
      <c r="A412" s="30"/>
      <c r="B412" s="30"/>
      <c r="C412" s="30"/>
      <c r="D412" s="30"/>
      <c r="E412" s="30"/>
      <c r="F412" s="30"/>
      <c r="G412" s="30"/>
      <c r="H412" s="30"/>
      <c r="I412" s="30"/>
      <c r="J412" s="30"/>
      <c r="K412" s="30"/>
      <c r="L412" s="31"/>
    </row>
    <row r="413" spans="1:12">
      <c r="A413" s="30"/>
      <c r="B413" s="30"/>
      <c r="C413" s="30"/>
      <c r="D413" s="30"/>
      <c r="E413" s="30"/>
      <c r="F413" s="30"/>
      <c r="G413" s="30"/>
      <c r="H413" s="30"/>
      <c r="I413" s="30"/>
      <c r="J413" s="30"/>
      <c r="K413" s="30"/>
      <c r="L413" s="31"/>
    </row>
    <row r="414" spans="1:12">
      <c r="A414" s="30"/>
      <c r="B414" s="30"/>
      <c r="C414" s="30"/>
      <c r="D414" s="30"/>
      <c r="E414" s="30"/>
      <c r="F414" s="30"/>
      <c r="G414" s="30"/>
      <c r="H414" s="30"/>
      <c r="I414" s="30"/>
      <c r="J414" s="30"/>
      <c r="K414" s="30"/>
      <c r="L414" s="31"/>
    </row>
    <row r="415" spans="1:12">
      <c r="A415" s="30"/>
      <c r="B415" s="30"/>
      <c r="C415" s="30"/>
      <c r="D415" s="30"/>
      <c r="E415" s="30"/>
      <c r="F415" s="30"/>
      <c r="G415" s="30"/>
      <c r="H415" s="30"/>
      <c r="I415" s="30"/>
      <c r="J415" s="30"/>
      <c r="K415" s="30"/>
      <c r="L415" s="31"/>
    </row>
    <row r="416" spans="1:12">
      <c r="A416" s="30"/>
      <c r="B416" s="30"/>
      <c r="C416" s="30"/>
      <c r="D416" s="30"/>
      <c r="E416" s="30"/>
      <c r="F416" s="30"/>
      <c r="G416" s="30"/>
      <c r="H416" s="30"/>
      <c r="I416" s="30"/>
      <c r="J416" s="30"/>
      <c r="K416" s="30"/>
      <c r="L416" s="31"/>
    </row>
    <row r="417" spans="1:12">
      <c r="A417" s="30"/>
      <c r="B417" s="30"/>
      <c r="C417" s="30"/>
      <c r="D417" s="30"/>
      <c r="E417" s="30"/>
      <c r="F417" s="30"/>
      <c r="G417" s="30"/>
      <c r="H417" s="30"/>
      <c r="I417" s="30"/>
      <c r="J417" s="30"/>
      <c r="K417" s="30"/>
      <c r="L417" s="31"/>
    </row>
    <row r="418" spans="1:12">
      <c r="A418" s="30"/>
      <c r="B418" s="30"/>
      <c r="C418" s="30"/>
      <c r="D418" s="30"/>
      <c r="E418" s="30"/>
      <c r="F418" s="30"/>
      <c r="G418" s="30"/>
      <c r="H418" s="30"/>
      <c r="I418" s="30"/>
      <c r="J418" s="30"/>
      <c r="K418" s="30"/>
      <c r="L418" s="31"/>
    </row>
    <row r="419" spans="1:12">
      <c r="A419" s="30"/>
      <c r="B419" s="30"/>
      <c r="C419" s="30"/>
      <c r="D419" s="30"/>
      <c r="E419" s="30"/>
      <c r="F419" s="30"/>
      <c r="G419" s="30"/>
      <c r="H419" s="30"/>
      <c r="I419" s="30"/>
      <c r="J419" s="30"/>
      <c r="K419" s="30"/>
      <c r="L419" s="31"/>
    </row>
    <row r="420" spans="1:12">
      <c r="A420" s="30"/>
      <c r="B420" s="30"/>
      <c r="C420" s="30"/>
      <c r="D420" s="30"/>
      <c r="E420" s="30"/>
      <c r="F420" s="30"/>
      <c r="G420" s="30"/>
      <c r="H420" s="30"/>
      <c r="I420" s="30"/>
      <c r="J420" s="30"/>
      <c r="K420" s="30"/>
      <c r="L420" s="31"/>
    </row>
    <row r="421" spans="1:12">
      <c r="A421" s="30"/>
      <c r="B421" s="30"/>
      <c r="C421" s="30"/>
      <c r="D421" s="30"/>
      <c r="E421" s="30"/>
      <c r="F421" s="30"/>
      <c r="G421" s="30"/>
      <c r="H421" s="30"/>
      <c r="I421" s="30"/>
      <c r="J421" s="30"/>
      <c r="K421" s="30"/>
      <c r="L421" s="31"/>
    </row>
    <row r="422" spans="1:12">
      <c r="A422" s="30"/>
      <c r="B422" s="30"/>
      <c r="C422" s="30"/>
      <c r="D422" s="30"/>
      <c r="E422" s="30"/>
      <c r="F422" s="30"/>
      <c r="G422" s="30"/>
      <c r="H422" s="30"/>
      <c r="I422" s="30"/>
      <c r="J422" s="30"/>
      <c r="K422" s="30"/>
      <c r="L422" s="31"/>
    </row>
    <row r="423" spans="1:12">
      <c r="A423" s="30"/>
      <c r="B423" s="30"/>
      <c r="C423" s="30"/>
      <c r="D423" s="30"/>
      <c r="E423" s="30"/>
      <c r="F423" s="30"/>
      <c r="G423" s="30"/>
      <c r="H423" s="30"/>
      <c r="I423" s="30"/>
      <c r="J423" s="30"/>
      <c r="K423" s="30"/>
      <c r="L423" s="31"/>
    </row>
    <row r="424" spans="1:12">
      <c r="A424" s="30"/>
      <c r="B424" s="30"/>
      <c r="C424" s="30"/>
      <c r="D424" s="30"/>
      <c r="E424" s="30"/>
      <c r="F424" s="30"/>
      <c r="G424" s="30"/>
      <c r="H424" s="30"/>
      <c r="I424" s="30"/>
      <c r="J424" s="30"/>
      <c r="K424" s="30"/>
      <c r="L424" s="31"/>
    </row>
    <row r="425" spans="1:12">
      <c r="A425" s="30"/>
      <c r="B425" s="30"/>
      <c r="C425" s="30"/>
      <c r="D425" s="30"/>
      <c r="E425" s="30"/>
      <c r="F425" s="30"/>
      <c r="G425" s="30"/>
      <c r="H425" s="30"/>
      <c r="I425" s="30"/>
      <c r="J425" s="30"/>
      <c r="K425" s="30"/>
      <c r="L425" s="31"/>
    </row>
    <row r="426" spans="1:12">
      <c r="A426" s="30"/>
      <c r="B426" s="30"/>
      <c r="C426" s="30"/>
      <c r="D426" s="30"/>
      <c r="E426" s="30"/>
      <c r="F426" s="30"/>
      <c r="G426" s="30"/>
      <c r="H426" s="30"/>
      <c r="I426" s="30"/>
      <c r="J426" s="30"/>
      <c r="K426" s="30"/>
      <c r="L426" s="31"/>
    </row>
    <row r="427" spans="1:12">
      <c r="A427" s="30"/>
      <c r="B427" s="30"/>
      <c r="C427" s="30"/>
      <c r="D427" s="30"/>
      <c r="E427" s="30"/>
      <c r="F427" s="30"/>
      <c r="G427" s="30"/>
      <c r="H427" s="30"/>
      <c r="I427" s="30"/>
      <c r="J427" s="30"/>
      <c r="K427" s="30"/>
      <c r="L427" s="31"/>
    </row>
    <row r="428" spans="1:12">
      <c r="A428" s="30"/>
      <c r="B428" s="30"/>
      <c r="C428" s="30"/>
      <c r="D428" s="30"/>
      <c r="E428" s="30"/>
      <c r="F428" s="30"/>
      <c r="G428" s="30"/>
      <c r="H428" s="30"/>
      <c r="I428" s="30"/>
      <c r="J428" s="30"/>
      <c r="K428" s="30"/>
      <c r="L428" s="31"/>
    </row>
    <row r="429" spans="1:12">
      <c r="A429" s="30"/>
      <c r="B429" s="30"/>
      <c r="C429" s="30"/>
      <c r="D429" s="30"/>
      <c r="E429" s="30"/>
      <c r="F429" s="30"/>
      <c r="G429" s="30"/>
      <c r="H429" s="30"/>
      <c r="I429" s="30"/>
      <c r="J429" s="30"/>
      <c r="K429" s="30"/>
      <c r="L429" s="31"/>
    </row>
    <row r="430" spans="1:12">
      <c r="A430" s="30"/>
      <c r="B430" s="30"/>
      <c r="C430" s="30"/>
      <c r="D430" s="30"/>
      <c r="E430" s="30"/>
      <c r="F430" s="30"/>
      <c r="G430" s="30"/>
      <c r="H430" s="30"/>
      <c r="I430" s="30"/>
      <c r="J430" s="30"/>
      <c r="K430" s="30"/>
      <c r="L430" s="31"/>
    </row>
    <row r="431" spans="1:12">
      <c r="A431" s="30"/>
      <c r="B431" s="30"/>
      <c r="C431" s="30"/>
      <c r="D431" s="30"/>
      <c r="E431" s="30"/>
      <c r="F431" s="30"/>
      <c r="G431" s="30"/>
      <c r="H431" s="30"/>
      <c r="I431" s="30"/>
      <c r="J431" s="30"/>
      <c r="K431" s="30"/>
      <c r="L431" s="31"/>
    </row>
    <row r="432" spans="1:12">
      <c r="A432" s="30"/>
      <c r="B432" s="30"/>
      <c r="C432" s="30"/>
      <c r="D432" s="30"/>
      <c r="E432" s="30"/>
      <c r="F432" s="30"/>
      <c r="G432" s="30"/>
      <c r="H432" s="30"/>
      <c r="I432" s="30"/>
      <c r="J432" s="30"/>
      <c r="K432" s="30"/>
      <c r="L432" s="31"/>
    </row>
    <row r="433" spans="1:12">
      <c r="A433" s="30"/>
      <c r="B433" s="30"/>
      <c r="C433" s="30"/>
      <c r="D433" s="30"/>
      <c r="E433" s="30"/>
      <c r="F433" s="30"/>
      <c r="G433" s="30"/>
      <c r="H433" s="30"/>
      <c r="I433" s="30"/>
      <c r="J433" s="30"/>
      <c r="K433" s="30"/>
      <c r="L433" s="31"/>
    </row>
    <row r="434" spans="1:12">
      <c r="A434" s="30"/>
      <c r="B434" s="30"/>
      <c r="C434" s="30"/>
      <c r="D434" s="30"/>
      <c r="E434" s="30"/>
      <c r="F434" s="30"/>
      <c r="G434" s="30"/>
      <c r="H434" s="30"/>
      <c r="I434" s="30"/>
      <c r="J434" s="30"/>
      <c r="K434" s="30"/>
      <c r="L434" s="31"/>
    </row>
    <row r="435" spans="1:12">
      <c r="A435" s="30"/>
      <c r="B435" s="30"/>
      <c r="C435" s="30"/>
      <c r="D435" s="30"/>
      <c r="E435" s="30"/>
      <c r="F435" s="30"/>
      <c r="G435" s="30"/>
      <c r="H435" s="30"/>
      <c r="I435" s="30"/>
      <c r="J435" s="30"/>
      <c r="K435" s="30"/>
      <c r="L435" s="31"/>
    </row>
    <row r="436" spans="1:12">
      <c r="A436" s="30"/>
      <c r="B436" s="30"/>
      <c r="C436" s="30"/>
      <c r="D436" s="30"/>
      <c r="E436" s="30"/>
      <c r="F436" s="30"/>
      <c r="G436" s="30"/>
      <c r="H436" s="30"/>
      <c r="I436" s="30"/>
      <c r="J436" s="30"/>
      <c r="K436" s="30"/>
      <c r="L436" s="31"/>
    </row>
    <row r="437" spans="1:12">
      <c r="A437" s="30"/>
      <c r="B437" s="30"/>
      <c r="C437" s="30"/>
      <c r="D437" s="30"/>
      <c r="E437" s="30"/>
      <c r="F437" s="30"/>
      <c r="G437" s="30"/>
      <c r="H437" s="30"/>
      <c r="I437" s="30"/>
      <c r="J437" s="30"/>
      <c r="K437" s="30"/>
      <c r="L437" s="31"/>
    </row>
    <row r="438" spans="1:12">
      <c r="A438" s="30"/>
      <c r="B438" s="30"/>
      <c r="C438" s="30"/>
      <c r="D438" s="30"/>
      <c r="E438" s="30"/>
      <c r="F438" s="30"/>
      <c r="G438" s="30"/>
      <c r="H438" s="30"/>
      <c r="I438" s="30"/>
      <c r="J438" s="30"/>
      <c r="K438" s="30"/>
      <c r="L438" s="31"/>
    </row>
    <row r="439" spans="1:12">
      <c r="A439" s="30"/>
      <c r="B439" s="30"/>
      <c r="C439" s="30"/>
      <c r="D439" s="30"/>
      <c r="E439" s="30"/>
      <c r="F439" s="30"/>
      <c r="G439" s="30"/>
      <c r="H439" s="30"/>
      <c r="I439" s="30"/>
      <c r="J439" s="30"/>
      <c r="K439" s="30"/>
      <c r="L439" s="31"/>
    </row>
    <row r="440" spans="1:12">
      <c r="A440" s="30"/>
      <c r="B440" s="30"/>
      <c r="C440" s="30"/>
      <c r="D440" s="30"/>
      <c r="E440" s="30"/>
      <c r="F440" s="30"/>
      <c r="G440" s="30"/>
      <c r="H440" s="30"/>
      <c r="I440" s="30"/>
      <c r="J440" s="30"/>
      <c r="K440" s="30"/>
      <c r="L440" s="31"/>
    </row>
    <row r="441" spans="1:12">
      <c r="A441" s="30"/>
      <c r="B441" s="30"/>
      <c r="C441" s="30"/>
      <c r="D441" s="30"/>
      <c r="E441" s="30"/>
      <c r="F441" s="30"/>
      <c r="G441" s="30"/>
      <c r="H441" s="30"/>
      <c r="I441" s="30"/>
      <c r="J441" s="30"/>
      <c r="K441" s="30"/>
      <c r="L441" s="31"/>
    </row>
    <row r="442" spans="1:12">
      <c r="A442" s="30"/>
      <c r="B442" s="30"/>
      <c r="C442" s="30"/>
      <c r="D442" s="30"/>
      <c r="E442" s="30"/>
      <c r="F442" s="30"/>
      <c r="G442" s="30"/>
      <c r="H442" s="30"/>
      <c r="I442" s="30"/>
      <c r="J442" s="30"/>
      <c r="K442" s="30"/>
      <c r="L442" s="31"/>
    </row>
    <row r="443" spans="1:12">
      <c r="A443" s="30"/>
      <c r="B443" s="30"/>
      <c r="C443" s="30"/>
      <c r="D443" s="30"/>
      <c r="E443" s="30"/>
      <c r="F443" s="30"/>
      <c r="G443" s="30"/>
      <c r="H443" s="30"/>
      <c r="I443" s="30"/>
      <c r="J443" s="30"/>
      <c r="K443" s="30"/>
      <c r="L443" s="31"/>
    </row>
    <row r="444" spans="1:12">
      <c r="A444" s="30"/>
      <c r="B444" s="30"/>
      <c r="C444" s="30"/>
      <c r="D444" s="30"/>
      <c r="E444" s="30"/>
      <c r="F444" s="30"/>
      <c r="G444" s="30"/>
      <c r="H444" s="30"/>
      <c r="I444" s="30"/>
      <c r="J444" s="30"/>
      <c r="K444" s="30"/>
      <c r="L444" s="31"/>
    </row>
    <row r="445" spans="1:12">
      <c r="A445" s="30"/>
      <c r="B445" s="30"/>
      <c r="C445" s="30"/>
      <c r="D445" s="30"/>
      <c r="E445" s="30"/>
      <c r="F445" s="30"/>
      <c r="G445" s="30"/>
      <c r="H445" s="30"/>
      <c r="I445" s="30"/>
      <c r="J445" s="30"/>
      <c r="K445" s="30"/>
      <c r="L445" s="31"/>
    </row>
    <row r="446" spans="1:12">
      <c r="A446" s="30"/>
      <c r="B446" s="30"/>
      <c r="C446" s="30"/>
      <c r="D446" s="30"/>
      <c r="E446" s="30"/>
      <c r="F446" s="30"/>
      <c r="G446" s="30"/>
      <c r="H446" s="30"/>
      <c r="I446" s="30"/>
      <c r="J446" s="30"/>
      <c r="K446" s="30"/>
      <c r="L446" s="31"/>
    </row>
    <row r="447" spans="1:12">
      <c r="A447" s="30"/>
      <c r="B447" s="30"/>
      <c r="C447" s="30"/>
      <c r="D447" s="30"/>
      <c r="E447" s="30"/>
      <c r="F447" s="30"/>
      <c r="G447" s="30"/>
      <c r="H447" s="30"/>
      <c r="I447" s="30"/>
      <c r="J447" s="30"/>
      <c r="K447" s="30"/>
      <c r="L447" s="31"/>
    </row>
    <row r="448" spans="1:12">
      <c r="A448" s="30"/>
      <c r="B448" s="30"/>
      <c r="C448" s="30"/>
      <c r="D448" s="30"/>
      <c r="E448" s="30"/>
      <c r="F448" s="30"/>
      <c r="G448" s="30"/>
      <c r="H448" s="30"/>
      <c r="I448" s="30"/>
      <c r="J448" s="30"/>
      <c r="K448" s="30"/>
      <c r="L448" s="31"/>
    </row>
    <row r="449" spans="1:12">
      <c r="A449" s="30"/>
      <c r="B449" s="30"/>
      <c r="C449" s="30"/>
      <c r="D449" s="30"/>
      <c r="E449" s="30"/>
      <c r="F449" s="30"/>
      <c r="G449" s="30"/>
      <c r="H449" s="30"/>
      <c r="I449" s="30"/>
      <c r="J449" s="30"/>
      <c r="K449" s="30"/>
      <c r="L449" s="31"/>
    </row>
    <row r="450" spans="1:12">
      <c r="A450" s="30"/>
      <c r="B450" s="30"/>
      <c r="C450" s="30"/>
      <c r="D450" s="30"/>
      <c r="E450" s="30"/>
      <c r="F450" s="30"/>
      <c r="G450" s="30"/>
      <c r="H450" s="30"/>
      <c r="I450" s="30"/>
      <c r="J450" s="30"/>
      <c r="K450" s="30"/>
      <c r="L450" s="31"/>
    </row>
    <row r="451" spans="1:12">
      <c r="A451" s="30"/>
      <c r="B451" s="30"/>
      <c r="C451" s="30"/>
      <c r="D451" s="30"/>
      <c r="E451" s="30"/>
      <c r="F451" s="30"/>
      <c r="G451" s="30"/>
      <c r="H451" s="30"/>
      <c r="I451" s="30"/>
      <c r="J451" s="30"/>
      <c r="K451" s="30"/>
      <c r="L451" s="31"/>
    </row>
    <row r="452" spans="1:12">
      <c r="A452" s="30"/>
      <c r="B452" s="30"/>
      <c r="C452" s="30"/>
      <c r="D452" s="30"/>
      <c r="E452" s="30"/>
      <c r="F452" s="30"/>
      <c r="G452" s="30"/>
      <c r="H452" s="30"/>
      <c r="I452" s="30"/>
      <c r="J452" s="30"/>
      <c r="K452" s="30"/>
      <c r="L452" s="31"/>
    </row>
    <row r="453" spans="1:12">
      <c r="A453" s="30"/>
      <c r="B453" s="30"/>
      <c r="C453" s="30"/>
      <c r="D453" s="30"/>
      <c r="E453" s="30"/>
      <c r="F453" s="30"/>
      <c r="G453" s="30"/>
      <c r="H453" s="30"/>
      <c r="I453" s="30"/>
      <c r="J453" s="30"/>
      <c r="K453" s="30"/>
      <c r="L453" s="31"/>
    </row>
    <row r="454" spans="1:12">
      <c r="A454" s="30"/>
      <c r="B454" s="30"/>
      <c r="C454" s="30"/>
      <c r="D454" s="30"/>
      <c r="E454" s="30"/>
      <c r="F454" s="30"/>
      <c r="G454" s="30"/>
      <c r="H454" s="30"/>
      <c r="I454" s="30"/>
      <c r="J454" s="30"/>
      <c r="K454" s="30"/>
      <c r="L454" s="31"/>
    </row>
    <row r="455" spans="1:12">
      <c r="A455" s="30"/>
      <c r="B455" s="30"/>
      <c r="C455" s="30"/>
      <c r="D455" s="30"/>
      <c r="E455" s="30"/>
      <c r="F455" s="30"/>
      <c r="G455" s="30"/>
      <c r="H455" s="30"/>
      <c r="I455" s="30"/>
      <c r="J455" s="30"/>
      <c r="K455" s="30"/>
      <c r="L455" s="31"/>
    </row>
    <row r="456" spans="1:12">
      <c r="A456" s="30"/>
      <c r="B456" s="30"/>
      <c r="C456" s="30"/>
      <c r="D456" s="30"/>
      <c r="E456" s="30"/>
      <c r="F456" s="30"/>
      <c r="G456" s="30"/>
      <c r="H456" s="30"/>
      <c r="I456" s="30"/>
      <c r="J456" s="30"/>
      <c r="K456" s="30"/>
      <c r="L456" s="31"/>
    </row>
    <row r="457" spans="1:12">
      <c r="A457" s="30"/>
      <c r="B457" s="30"/>
      <c r="C457" s="30"/>
      <c r="D457" s="30"/>
      <c r="E457" s="30"/>
      <c r="F457" s="30"/>
      <c r="G457" s="30"/>
      <c r="H457" s="30"/>
      <c r="I457" s="30"/>
      <c r="J457" s="30"/>
      <c r="K457" s="30"/>
      <c r="L457" s="31"/>
    </row>
    <row r="458" spans="1:12">
      <c r="A458" s="30"/>
      <c r="B458" s="30"/>
      <c r="C458" s="30"/>
      <c r="D458" s="30"/>
      <c r="E458" s="30"/>
      <c r="F458" s="30"/>
      <c r="G458" s="30"/>
      <c r="H458" s="30"/>
      <c r="I458" s="30"/>
      <c r="J458" s="30"/>
      <c r="K458" s="30"/>
      <c r="L458" s="31"/>
    </row>
    <row r="459" spans="1:12">
      <c r="A459" s="30"/>
      <c r="B459" s="30"/>
      <c r="C459" s="30"/>
      <c r="D459" s="30"/>
      <c r="E459" s="30"/>
      <c r="F459" s="30"/>
      <c r="G459" s="30"/>
      <c r="H459" s="30"/>
      <c r="I459" s="30"/>
      <c r="J459" s="30"/>
      <c r="K459" s="30"/>
      <c r="L459" s="31"/>
    </row>
    <row r="460" spans="1:12">
      <c r="A460" s="30"/>
      <c r="B460" s="30"/>
      <c r="C460" s="30"/>
      <c r="D460" s="30"/>
      <c r="E460" s="30"/>
      <c r="F460" s="30"/>
      <c r="G460" s="30"/>
      <c r="H460" s="30"/>
      <c r="I460" s="30"/>
      <c r="J460" s="30"/>
      <c r="K460" s="30"/>
      <c r="L460" s="31"/>
    </row>
    <row r="461" spans="1:12">
      <c r="A461" s="30"/>
      <c r="B461" s="30"/>
      <c r="C461" s="30"/>
      <c r="D461" s="30"/>
      <c r="E461" s="30"/>
      <c r="F461" s="30"/>
      <c r="G461" s="30"/>
      <c r="H461" s="30"/>
      <c r="I461" s="30"/>
      <c r="J461" s="30"/>
      <c r="K461" s="30"/>
      <c r="L461" s="31"/>
    </row>
    <row r="462" spans="1:12">
      <c r="A462" s="30"/>
      <c r="B462" s="30"/>
      <c r="C462" s="30"/>
      <c r="D462" s="30"/>
      <c r="E462" s="30"/>
      <c r="F462" s="30"/>
      <c r="G462" s="30"/>
      <c r="H462" s="30"/>
      <c r="I462" s="30"/>
      <c r="J462" s="30"/>
      <c r="K462" s="30"/>
      <c r="L462" s="31"/>
    </row>
    <row r="463" spans="1:12">
      <c r="A463" s="30"/>
      <c r="B463" s="30"/>
      <c r="C463" s="30"/>
      <c r="D463" s="30"/>
      <c r="E463" s="30"/>
      <c r="F463" s="30"/>
      <c r="G463" s="30"/>
      <c r="H463" s="30"/>
      <c r="I463" s="30"/>
      <c r="J463" s="30"/>
      <c r="K463" s="30"/>
      <c r="L463" s="31"/>
    </row>
    <row r="464" spans="1:12">
      <c r="A464" s="30"/>
      <c r="B464" s="30"/>
      <c r="C464" s="30"/>
      <c r="D464" s="30"/>
      <c r="E464" s="30"/>
      <c r="F464" s="30"/>
      <c r="G464" s="30"/>
      <c r="H464" s="30"/>
      <c r="I464" s="30"/>
      <c r="J464" s="30"/>
      <c r="K464" s="30"/>
      <c r="L464" s="31"/>
    </row>
    <row r="465" spans="1:12">
      <c r="A465" s="30"/>
      <c r="B465" s="30"/>
      <c r="C465" s="30"/>
      <c r="D465" s="30"/>
      <c r="E465" s="30"/>
      <c r="F465" s="30"/>
      <c r="G465" s="30"/>
      <c r="H465" s="30"/>
      <c r="I465" s="30"/>
      <c r="J465" s="30"/>
      <c r="K465" s="30"/>
      <c r="L465" s="31"/>
    </row>
    <row r="466" spans="1:12">
      <c r="A466" s="30"/>
      <c r="B466" s="30"/>
      <c r="C466" s="30"/>
      <c r="D466" s="30"/>
      <c r="E466" s="30"/>
      <c r="F466" s="30"/>
      <c r="G466" s="30"/>
      <c r="H466" s="30"/>
      <c r="I466" s="30"/>
      <c r="J466" s="30"/>
      <c r="K466" s="30"/>
      <c r="L466" s="31"/>
    </row>
    <row r="467" spans="1:12">
      <c r="A467" s="30"/>
      <c r="B467" s="30"/>
      <c r="C467" s="30"/>
      <c r="D467" s="30"/>
      <c r="E467" s="30"/>
      <c r="F467" s="30"/>
      <c r="G467" s="30"/>
      <c r="H467" s="30"/>
      <c r="I467" s="30"/>
      <c r="J467" s="30"/>
      <c r="K467" s="30"/>
      <c r="L467" s="31"/>
    </row>
    <row r="468" spans="1:12">
      <c r="A468" s="30"/>
      <c r="B468" s="30"/>
      <c r="C468" s="30"/>
      <c r="D468" s="30"/>
      <c r="E468" s="30"/>
      <c r="F468" s="30"/>
      <c r="G468" s="30"/>
      <c r="H468" s="30"/>
      <c r="I468" s="30"/>
      <c r="J468" s="30"/>
      <c r="K468" s="30"/>
      <c r="L468" s="31"/>
    </row>
    <row r="469" spans="1:12">
      <c r="A469" s="30"/>
      <c r="B469" s="30"/>
      <c r="C469" s="30"/>
      <c r="D469" s="30"/>
      <c r="E469" s="30"/>
      <c r="F469" s="30"/>
      <c r="G469" s="30"/>
      <c r="H469" s="30"/>
      <c r="I469" s="30"/>
      <c r="J469" s="30"/>
      <c r="K469" s="30"/>
      <c r="L469" s="31"/>
    </row>
    <row r="470" spans="1:12">
      <c r="A470" s="30"/>
      <c r="B470" s="30"/>
      <c r="C470" s="30"/>
      <c r="D470" s="30"/>
      <c r="E470" s="30"/>
      <c r="F470" s="30"/>
      <c r="G470" s="30"/>
      <c r="H470" s="30"/>
      <c r="I470" s="30"/>
      <c r="J470" s="30"/>
      <c r="K470" s="30"/>
      <c r="L470" s="31"/>
    </row>
    <row r="471" spans="1:12">
      <c r="A471" s="30"/>
      <c r="B471" s="30"/>
      <c r="C471" s="30"/>
      <c r="D471" s="30"/>
      <c r="E471" s="30"/>
      <c r="F471" s="30"/>
      <c r="G471" s="30"/>
      <c r="H471" s="30"/>
      <c r="I471" s="30"/>
      <c r="J471" s="30"/>
      <c r="K471" s="30"/>
      <c r="L471" s="31"/>
    </row>
    <row r="472" spans="1:12">
      <c r="A472" s="30"/>
      <c r="B472" s="30"/>
      <c r="C472" s="30"/>
      <c r="D472" s="30"/>
      <c r="E472" s="30"/>
      <c r="F472" s="30"/>
      <c r="G472" s="30"/>
      <c r="H472" s="30"/>
      <c r="I472" s="30"/>
      <c r="J472" s="30"/>
      <c r="K472" s="30"/>
      <c r="L472" s="31"/>
    </row>
    <row r="473" spans="1:12">
      <c r="A473" s="30"/>
      <c r="B473" s="30"/>
      <c r="C473" s="30"/>
      <c r="D473" s="30"/>
      <c r="E473" s="30"/>
      <c r="F473" s="30"/>
      <c r="G473" s="30"/>
      <c r="H473" s="30"/>
      <c r="I473" s="30"/>
      <c r="J473" s="30"/>
      <c r="K473" s="30"/>
      <c r="L473" s="31"/>
    </row>
    <row r="474" spans="1:12">
      <c r="A474" s="30"/>
      <c r="B474" s="30"/>
      <c r="C474" s="30"/>
      <c r="D474" s="30"/>
      <c r="E474" s="30"/>
      <c r="F474" s="30"/>
      <c r="G474" s="30"/>
      <c r="H474" s="30"/>
      <c r="I474" s="30"/>
      <c r="J474" s="30"/>
      <c r="K474" s="30"/>
      <c r="L474" s="31"/>
    </row>
    <row r="475" spans="1:12">
      <c r="A475" s="30"/>
      <c r="B475" s="30"/>
      <c r="C475" s="30"/>
      <c r="D475" s="30"/>
      <c r="E475" s="30"/>
      <c r="F475" s="30"/>
      <c r="G475" s="30"/>
      <c r="H475" s="30"/>
      <c r="I475" s="30"/>
      <c r="J475" s="30"/>
      <c r="K475" s="30"/>
      <c r="L475" s="31"/>
    </row>
    <row r="476" spans="1:12">
      <c r="A476" s="30"/>
      <c r="B476" s="30"/>
      <c r="C476" s="30"/>
      <c r="D476" s="30"/>
      <c r="E476" s="30"/>
      <c r="F476" s="30"/>
      <c r="G476" s="30"/>
      <c r="H476" s="30"/>
      <c r="I476" s="30"/>
      <c r="J476" s="30"/>
      <c r="K476" s="30"/>
      <c r="L476" s="31"/>
    </row>
    <row r="477" spans="1:12">
      <c r="A477" s="30"/>
      <c r="B477" s="30"/>
      <c r="C477" s="30"/>
      <c r="D477" s="30"/>
      <c r="E477" s="30"/>
      <c r="F477" s="30"/>
      <c r="G477" s="30"/>
      <c r="H477" s="30"/>
      <c r="I477" s="30"/>
      <c r="J477" s="30"/>
      <c r="K477" s="30"/>
      <c r="L477" s="31"/>
    </row>
    <row r="478" spans="1:12">
      <c r="A478" s="30"/>
      <c r="B478" s="30"/>
      <c r="C478" s="30"/>
      <c r="D478" s="30"/>
      <c r="E478" s="30"/>
      <c r="F478" s="30"/>
      <c r="G478" s="30"/>
      <c r="H478" s="30"/>
      <c r="I478" s="30"/>
      <c r="J478" s="30"/>
      <c r="K478" s="30"/>
      <c r="L478" s="31"/>
    </row>
    <row r="479" spans="1:12">
      <c r="A479" s="30"/>
      <c r="B479" s="30"/>
      <c r="C479" s="30"/>
      <c r="D479" s="30"/>
      <c r="E479" s="30"/>
      <c r="F479" s="30"/>
      <c r="G479" s="30"/>
      <c r="H479" s="30"/>
      <c r="I479" s="30"/>
      <c r="J479" s="30"/>
      <c r="K479" s="30"/>
      <c r="L479" s="31"/>
    </row>
    <row r="480" spans="1:12">
      <c r="A480" s="30"/>
      <c r="B480" s="30"/>
      <c r="C480" s="30"/>
      <c r="D480" s="30"/>
      <c r="E480" s="30"/>
      <c r="F480" s="30"/>
      <c r="G480" s="30"/>
      <c r="H480" s="30"/>
      <c r="I480" s="30"/>
      <c r="J480" s="30"/>
      <c r="K480" s="30"/>
      <c r="L480" s="31"/>
    </row>
    <row r="481" spans="1:12">
      <c r="A481" s="30"/>
      <c r="B481" s="30"/>
      <c r="C481" s="30"/>
      <c r="D481" s="30"/>
      <c r="E481" s="30"/>
      <c r="F481" s="30"/>
      <c r="G481" s="30"/>
      <c r="H481" s="30"/>
      <c r="I481" s="30"/>
      <c r="J481" s="30"/>
      <c r="K481" s="30"/>
      <c r="L481" s="31"/>
    </row>
    <row r="482" spans="1:12">
      <c r="A482" s="30"/>
      <c r="B482" s="30"/>
      <c r="C482" s="30"/>
      <c r="D482" s="30"/>
      <c r="E482" s="30"/>
      <c r="F482" s="30"/>
      <c r="G482" s="30"/>
      <c r="H482" s="30"/>
      <c r="I482" s="30"/>
      <c r="J482" s="30"/>
      <c r="K482" s="30"/>
      <c r="L482" s="31"/>
    </row>
    <row r="483" spans="1:12">
      <c r="A483" s="30"/>
      <c r="B483" s="30"/>
      <c r="C483" s="30"/>
      <c r="D483" s="30"/>
      <c r="E483" s="30"/>
      <c r="F483" s="30"/>
      <c r="G483" s="30"/>
      <c r="H483" s="30"/>
      <c r="I483" s="30"/>
      <c r="J483" s="30"/>
      <c r="K483" s="30"/>
      <c r="L483" s="31"/>
    </row>
    <row r="484" spans="1:12">
      <c r="A484" s="30"/>
      <c r="B484" s="30"/>
      <c r="C484" s="30"/>
      <c r="D484" s="30"/>
      <c r="E484" s="30"/>
      <c r="F484" s="30"/>
      <c r="G484" s="30"/>
      <c r="H484" s="30"/>
      <c r="I484" s="30"/>
      <c r="J484" s="30"/>
      <c r="K484" s="30"/>
      <c r="L484" s="31"/>
    </row>
    <row r="485" spans="1:12">
      <c r="A485" s="30"/>
      <c r="B485" s="30"/>
      <c r="C485" s="30"/>
      <c r="D485" s="30"/>
      <c r="E485" s="30"/>
      <c r="F485" s="30"/>
      <c r="G485" s="30"/>
      <c r="H485" s="30"/>
      <c r="I485" s="30"/>
      <c r="J485" s="30"/>
      <c r="K485" s="30"/>
      <c r="L485" s="31"/>
    </row>
    <row r="486" spans="1:12">
      <c r="A486" s="30"/>
      <c r="B486" s="30"/>
      <c r="C486" s="30"/>
      <c r="D486" s="30"/>
      <c r="E486" s="30"/>
      <c r="F486" s="30"/>
      <c r="G486" s="30"/>
      <c r="H486" s="30"/>
      <c r="I486" s="30"/>
      <c r="J486" s="30"/>
      <c r="K486" s="30"/>
      <c r="L486" s="31"/>
    </row>
    <row r="487" spans="1:12">
      <c r="A487" s="30"/>
      <c r="B487" s="30"/>
      <c r="C487" s="30"/>
      <c r="D487" s="30"/>
      <c r="E487" s="30"/>
      <c r="F487" s="30"/>
      <c r="G487" s="30"/>
      <c r="H487" s="30"/>
      <c r="I487" s="30"/>
      <c r="J487" s="30"/>
      <c r="K487" s="30"/>
      <c r="L487" s="31"/>
    </row>
    <row r="488" spans="1:12">
      <c r="A488" s="30"/>
      <c r="B488" s="30"/>
      <c r="C488" s="30"/>
      <c r="D488" s="30"/>
      <c r="E488" s="30"/>
      <c r="F488" s="30"/>
      <c r="G488" s="30"/>
      <c r="H488" s="30"/>
      <c r="I488" s="30"/>
      <c r="J488" s="30"/>
      <c r="K488" s="30"/>
      <c r="L488" s="31"/>
    </row>
    <row r="489" spans="1:12">
      <c r="A489" s="30"/>
      <c r="B489" s="30"/>
      <c r="C489" s="30"/>
      <c r="D489" s="30"/>
      <c r="E489" s="30"/>
      <c r="F489" s="30"/>
      <c r="G489" s="30"/>
      <c r="H489" s="30"/>
      <c r="I489" s="30"/>
      <c r="J489" s="30"/>
      <c r="K489" s="30"/>
      <c r="L489" s="31"/>
    </row>
    <row r="490" spans="1:12">
      <c r="A490" s="30"/>
      <c r="B490" s="30"/>
      <c r="C490" s="30"/>
      <c r="D490" s="30"/>
      <c r="E490" s="30"/>
      <c r="F490" s="30"/>
      <c r="G490" s="30"/>
      <c r="H490" s="30"/>
      <c r="I490" s="30"/>
      <c r="J490" s="30"/>
      <c r="K490" s="30"/>
      <c r="L490" s="31"/>
    </row>
    <row r="491" spans="1:12">
      <c r="A491" s="30"/>
      <c r="B491" s="30"/>
      <c r="C491" s="30"/>
      <c r="D491" s="30"/>
      <c r="E491" s="30"/>
      <c r="F491" s="30"/>
      <c r="G491" s="30"/>
      <c r="H491" s="30"/>
      <c r="I491" s="30"/>
      <c r="J491" s="30"/>
      <c r="K491" s="30"/>
      <c r="L491" s="31"/>
    </row>
    <row r="492" spans="1:12">
      <c r="A492" s="30"/>
      <c r="B492" s="30"/>
      <c r="C492" s="30"/>
      <c r="D492" s="30"/>
      <c r="E492" s="30"/>
      <c r="F492" s="30"/>
      <c r="G492" s="30"/>
      <c r="H492" s="30"/>
      <c r="I492" s="30"/>
      <c r="J492" s="30"/>
      <c r="K492" s="30"/>
      <c r="L492" s="31"/>
    </row>
    <row r="493" spans="1:12">
      <c r="A493" s="30"/>
      <c r="B493" s="30"/>
      <c r="C493" s="30"/>
      <c r="D493" s="30"/>
      <c r="E493" s="30"/>
      <c r="F493" s="30"/>
      <c r="G493" s="30"/>
      <c r="H493" s="30"/>
      <c r="I493" s="30"/>
      <c r="J493" s="30"/>
      <c r="K493" s="30"/>
      <c r="L493" s="31"/>
    </row>
    <row r="494" spans="1:12">
      <c r="A494" s="30"/>
      <c r="B494" s="30"/>
      <c r="C494" s="30"/>
      <c r="D494" s="30"/>
      <c r="E494" s="30"/>
      <c r="F494" s="30"/>
      <c r="G494" s="30"/>
      <c r="H494" s="30"/>
      <c r="I494" s="30"/>
      <c r="J494" s="30"/>
      <c r="K494" s="30"/>
      <c r="L494" s="31"/>
    </row>
    <row r="495" spans="1:12">
      <c r="A495" s="30"/>
      <c r="B495" s="30"/>
      <c r="C495" s="30"/>
      <c r="D495" s="30"/>
      <c r="E495" s="30"/>
      <c r="F495" s="30"/>
      <c r="G495" s="30"/>
      <c r="H495" s="30"/>
      <c r="I495" s="30"/>
      <c r="J495" s="30"/>
      <c r="K495" s="30"/>
      <c r="L495" s="31"/>
    </row>
    <row r="496" spans="1:12">
      <c r="A496" s="30"/>
      <c r="B496" s="30"/>
      <c r="C496" s="30"/>
      <c r="D496" s="30"/>
      <c r="E496" s="30"/>
      <c r="F496" s="30"/>
      <c r="G496" s="30"/>
      <c r="H496" s="30"/>
      <c r="I496" s="30"/>
      <c r="J496" s="30"/>
      <c r="K496" s="30"/>
      <c r="L496" s="31"/>
    </row>
    <row r="497" spans="1:12">
      <c r="A497" s="30"/>
      <c r="B497" s="30"/>
      <c r="C497" s="30"/>
      <c r="D497" s="30"/>
      <c r="E497" s="30"/>
      <c r="F497" s="30"/>
      <c r="G497" s="30"/>
      <c r="H497" s="30"/>
      <c r="I497" s="30"/>
      <c r="J497" s="30"/>
      <c r="K497" s="30"/>
      <c r="L497" s="31"/>
    </row>
    <row r="498" spans="1:12">
      <c r="A498" s="30"/>
      <c r="B498" s="30"/>
      <c r="C498" s="30"/>
      <c r="D498" s="30"/>
      <c r="E498" s="30"/>
      <c r="F498" s="30"/>
      <c r="G498" s="30"/>
      <c r="H498" s="30"/>
      <c r="I498" s="30"/>
      <c r="J498" s="30"/>
      <c r="K498" s="30"/>
      <c r="L498" s="31"/>
    </row>
    <row r="499" spans="1:12">
      <c r="A499" s="30"/>
      <c r="B499" s="30"/>
      <c r="C499" s="30"/>
      <c r="D499" s="30"/>
      <c r="E499" s="30"/>
      <c r="F499" s="30"/>
      <c r="G499" s="30"/>
      <c r="H499" s="30"/>
      <c r="I499" s="30"/>
      <c r="J499" s="30"/>
      <c r="K499" s="30"/>
      <c r="L499" s="31"/>
    </row>
    <row r="500" spans="1:12">
      <c r="A500" s="30"/>
      <c r="B500" s="30"/>
      <c r="C500" s="30"/>
      <c r="D500" s="30"/>
      <c r="E500" s="30"/>
      <c r="F500" s="30"/>
      <c r="G500" s="30"/>
      <c r="H500" s="30"/>
      <c r="I500" s="30"/>
      <c r="J500" s="30"/>
      <c r="K500" s="30"/>
      <c r="L500" s="31"/>
    </row>
    <row r="501" spans="1:12">
      <c r="A501" s="30"/>
      <c r="B501" s="30"/>
      <c r="C501" s="30"/>
      <c r="D501" s="30"/>
      <c r="E501" s="30"/>
      <c r="F501" s="30"/>
      <c r="G501" s="30"/>
      <c r="H501" s="30"/>
      <c r="I501" s="30"/>
      <c r="J501" s="30"/>
      <c r="K501" s="30"/>
      <c r="L501" s="31"/>
    </row>
    <row r="502" spans="1:12">
      <c r="A502" s="30"/>
      <c r="B502" s="30"/>
      <c r="C502" s="30"/>
      <c r="D502" s="30"/>
      <c r="E502" s="30"/>
      <c r="F502" s="30"/>
      <c r="G502" s="30"/>
      <c r="H502" s="30"/>
      <c r="I502" s="30"/>
      <c r="J502" s="30"/>
      <c r="K502" s="30"/>
      <c r="L502" s="31"/>
    </row>
    <row r="503" spans="1:12">
      <c r="A503" s="30"/>
      <c r="B503" s="30"/>
      <c r="C503" s="30"/>
      <c r="D503" s="30"/>
      <c r="E503" s="30"/>
      <c r="F503" s="30"/>
      <c r="G503" s="30"/>
      <c r="H503" s="30"/>
      <c r="I503" s="30"/>
      <c r="J503" s="30"/>
      <c r="K503" s="30"/>
      <c r="L503" s="31"/>
    </row>
    <row r="504" spans="1:12">
      <c r="A504" s="30"/>
      <c r="B504" s="30"/>
      <c r="C504" s="30"/>
      <c r="D504" s="30"/>
      <c r="E504" s="30"/>
      <c r="F504" s="30"/>
      <c r="G504" s="30"/>
      <c r="H504" s="30"/>
      <c r="I504" s="30"/>
      <c r="J504" s="30"/>
      <c r="K504" s="30"/>
      <c r="L504" s="31"/>
    </row>
    <row r="505" spans="1:12">
      <c r="A505" s="30"/>
      <c r="B505" s="30"/>
      <c r="C505" s="30"/>
      <c r="D505" s="30"/>
      <c r="E505" s="30"/>
      <c r="F505" s="30"/>
      <c r="G505" s="30"/>
      <c r="H505" s="30"/>
      <c r="I505" s="30"/>
      <c r="J505" s="30"/>
      <c r="K505" s="30"/>
      <c r="L505" s="31"/>
    </row>
    <row r="506" spans="1:12">
      <c r="A506" s="30"/>
      <c r="B506" s="30"/>
      <c r="C506" s="30"/>
      <c r="D506" s="30"/>
      <c r="E506" s="30"/>
      <c r="F506" s="30"/>
      <c r="G506" s="30"/>
      <c r="H506" s="30"/>
      <c r="I506" s="30"/>
      <c r="J506" s="30"/>
      <c r="K506" s="30"/>
      <c r="L506" s="31"/>
    </row>
    <row r="507" spans="1:12">
      <c r="A507" s="30"/>
      <c r="B507" s="30"/>
      <c r="C507" s="30"/>
      <c r="D507" s="30"/>
      <c r="E507" s="30"/>
      <c r="F507" s="30"/>
      <c r="G507" s="30"/>
      <c r="H507" s="30"/>
      <c r="I507" s="30"/>
      <c r="J507" s="30"/>
      <c r="K507" s="30"/>
      <c r="L507" s="31"/>
    </row>
    <row r="508" spans="1:12">
      <c r="A508" s="30"/>
      <c r="B508" s="30"/>
      <c r="C508" s="30"/>
      <c r="D508" s="30"/>
      <c r="E508" s="30"/>
      <c r="F508" s="30"/>
      <c r="G508" s="30"/>
      <c r="H508" s="30"/>
      <c r="I508" s="30"/>
      <c r="J508" s="30"/>
      <c r="K508" s="30"/>
      <c r="L508" s="31"/>
    </row>
    <row r="509" spans="1:12">
      <c r="A509" s="30"/>
      <c r="B509" s="30"/>
      <c r="C509" s="30"/>
      <c r="D509" s="30"/>
      <c r="E509" s="30"/>
      <c r="F509" s="30"/>
      <c r="G509" s="30"/>
      <c r="H509" s="30"/>
      <c r="I509" s="30"/>
      <c r="J509" s="30"/>
      <c r="K509" s="30"/>
      <c r="L509" s="31"/>
    </row>
    <row r="510" spans="1:12">
      <c r="A510" s="30"/>
      <c r="B510" s="30"/>
      <c r="C510" s="30"/>
      <c r="D510" s="30"/>
      <c r="E510" s="30"/>
      <c r="F510" s="30"/>
      <c r="G510" s="30"/>
      <c r="H510" s="30"/>
      <c r="I510" s="30"/>
      <c r="J510" s="30"/>
      <c r="K510" s="30"/>
      <c r="L510" s="31"/>
    </row>
    <row r="511" spans="1:12">
      <c r="A511" s="30"/>
      <c r="B511" s="30"/>
      <c r="C511" s="30"/>
      <c r="D511" s="30"/>
      <c r="E511" s="30"/>
      <c r="F511" s="30"/>
      <c r="G511" s="30"/>
      <c r="H511" s="30"/>
      <c r="I511" s="30"/>
      <c r="J511" s="30"/>
      <c r="K511" s="30"/>
      <c r="L511" s="31"/>
    </row>
    <row r="512" spans="1:12">
      <c r="A512" s="30"/>
      <c r="B512" s="30"/>
      <c r="C512" s="30"/>
      <c r="D512" s="30"/>
      <c r="E512" s="30"/>
      <c r="F512" s="30"/>
      <c r="G512" s="30"/>
      <c r="H512" s="30"/>
      <c r="I512" s="30"/>
      <c r="J512" s="30"/>
      <c r="K512" s="30"/>
      <c r="L512" s="31"/>
    </row>
    <row r="513" spans="1:12">
      <c r="A513" s="30"/>
      <c r="B513" s="30"/>
      <c r="C513" s="30"/>
      <c r="D513" s="30"/>
      <c r="E513" s="30"/>
      <c r="F513" s="30"/>
      <c r="G513" s="30"/>
      <c r="H513" s="30"/>
      <c r="I513" s="30"/>
      <c r="J513" s="30"/>
      <c r="K513" s="30"/>
      <c r="L513" s="31"/>
    </row>
    <row r="514" spans="1:12">
      <c r="A514" s="30"/>
      <c r="B514" s="30"/>
      <c r="C514" s="30"/>
      <c r="D514" s="30"/>
      <c r="E514" s="30"/>
      <c r="F514" s="30"/>
      <c r="G514" s="30"/>
      <c r="H514" s="30"/>
      <c r="I514" s="30"/>
      <c r="J514" s="30"/>
      <c r="K514" s="30"/>
      <c r="L514" s="31"/>
    </row>
    <row r="515" spans="1:12">
      <c r="A515" s="30"/>
      <c r="B515" s="30"/>
      <c r="C515" s="30"/>
      <c r="D515" s="30"/>
      <c r="E515" s="30"/>
      <c r="F515" s="30"/>
      <c r="G515" s="30"/>
      <c r="H515" s="30"/>
      <c r="I515" s="30"/>
      <c r="J515" s="30"/>
      <c r="K515" s="30"/>
      <c r="L515" s="31"/>
    </row>
    <row r="516" spans="1:12">
      <c r="A516" s="30"/>
      <c r="B516" s="30"/>
      <c r="C516" s="30"/>
      <c r="D516" s="30"/>
      <c r="E516" s="30"/>
      <c r="F516" s="30"/>
      <c r="G516" s="30"/>
      <c r="H516" s="30"/>
      <c r="I516" s="30"/>
      <c r="J516" s="30"/>
      <c r="K516" s="30"/>
      <c r="L516" s="31"/>
    </row>
    <row r="517" spans="1:12">
      <c r="A517" s="30"/>
      <c r="B517" s="30"/>
      <c r="C517" s="30"/>
      <c r="D517" s="30"/>
      <c r="E517" s="30"/>
      <c r="F517" s="30"/>
      <c r="G517" s="30"/>
      <c r="H517" s="30"/>
      <c r="I517" s="30"/>
      <c r="J517" s="30"/>
      <c r="K517" s="30"/>
      <c r="L517" s="31"/>
    </row>
    <row r="518" spans="1:12">
      <c r="A518" s="30"/>
      <c r="B518" s="30"/>
      <c r="C518" s="30"/>
      <c r="D518" s="30"/>
      <c r="E518" s="30"/>
      <c r="F518" s="30"/>
      <c r="G518" s="30"/>
      <c r="H518" s="30"/>
      <c r="I518" s="30"/>
      <c r="J518" s="30"/>
      <c r="K518" s="30"/>
      <c r="L518" s="31"/>
    </row>
    <row r="519" spans="1:12">
      <c r="A519" s="30"/>
      <c r="B519" s="30"/>
      <c r="C519" s="30"/>
      <c r="D519" s="30"/>
      <c r="E519" s="30"/>
      <c r="F519" s="30"/>
      <c r="G519" s="30"/>
      <c r="H519" s="30"/>
      <c r="I519" s="30"/>
      <c r="J519" s="30"/>
      <c r="K519" s="30"/>
      <c r="L519" s="31"/>
    </row>
    <row r="520" spans="1:12">
      <c r="A520" s="30"/>
      <c r="B520" s="30"/>
      <c r="C520" s="30"/>
      <c r="D520" s="30"/>
      <c r="E520" s="30"/>
      <c r="F520" s="30"/>
      <c r="G520" s="30"/>
      <c r="H520" s="30"/>
      <c r="I520" s="30"/>
      <c r="J520" s="30"/>
      <c r="K520" s="30"/>
      <c r="L520" s="31"/>
    </row>
    <row r="521" spans="1:12">
      <c r="A521" s="30"/>
      <c r="B521" s="30"/>
      <c r="C521" s="30"/>
      <c r="D521" s="30"/>
      <c r="E521" s="30"/>
      <c r="F521" s="30"/>
      <c r="G521" s="30"/>
      <c r="H521" s="30"/>
      <c r="I521" s="30"/>
      <c r="J521" s="30"/>
      <c r="K521" s="30"/>
      <c r="L521" s="31"/>
    </row>
    <row r="522" spans="1:12">
      <c r="A522" s="30"/>
      <c r="B522" s="30"/>
      <c r="C522" s="30"/>
      <c r="D522" s="30"/>
      <c r="E522" s="30"/>
      <c r="F522" s="30"/>
      <c r="G522" s="30"/>
      <c r="H522" s="30"/>
      <c r="I522" s="30"/>
      <c r="J522" s="30"/>
      <c r="K522" s="30"/>
      <c r="L522" s="31"/>
    </row>
    <row r="523" spans="1:12">
      <c r="A523" s="30"/>
      <c r="B523" s="30"/>
      <c r="C523" s="30"/>
      <c r="D523" s="30"/>
      <c r="E523" s="30"/>
      <c r="F523" s="30"/>
      <c r="G523" s="30"/>
      <c r="H523" s="30"/>
      <c r="I523" s="30"/>
      <c r="J523" s="30"/>
      <c r="K523" s="30"/>
      <c r="L523" s="31"/>
    </row>
    <row r="524" spans="1:12">
      <c r="A524" s="30"/>
      <c r="B524" s="30"/>
      <c r="C524" s="30"/>
      <c r="D524" s="30"/>
      <c r="E524" s="30"/>
      <c r="F524" s="30"/>
      <c r="G524" s="30"/>
      <c r="H524" s="30"/>
      <c r="I524" s="30"/>
      <c r="J524" s="30"/>
      <c r="K524" s="30"/>
      <c r="L524" s="31"/>
    </row>
    <row r="525" spans="1:12">
      <c r="A525" s="30"/>
      <c r="B525" s="30"/>
      <c r="C525" s="30"/>
      <c r="D525" s="30"/>
      <c r="E525" s="30"/>
      <c r="F525" s="30"/>
      <c r="G525" s="30"/>
      <c r="H525" s="30"/>
      <c r="I525" s="30"/>
      <c r="J525" s="30"/>
      <c r="K525" s="30"/>
      <c r="L525" s="31"/>
    </row>
    <row r="526" spans="1:12">
      <c r="A526" s="30"/>
      <c r="B526" s="30"/>
      <c r="C526" s="30"/>
      <c r="D526" s="30"/>
      <c r="E526" s="30"/>
      <c r="F526" s="30"/>
      <c r="G526" s="30"/>
      <c r="H526" s="30"/>
      <c r="I526" s="30"/>
      <c r="J526" s="30"/>
      <c r="K526" s="30"/>
      <c r="L526" s="31"/>
    </row>
    <row r="527" spans="1:12">
      <c r="A527" s="30"/>
      <c r="B527" s="30"/>
      <c r="C527" s="30"/>
      <c r="D527" s="30"/>
      <c r="E527" s="30"/>
      <c r="F527" s="30"/>
      <c r="G527" s="30"/>
      <c r="H527" s="30"/>
      <c r="I527" s="30"/>
      <c r="J527" s="30"/>
      <c r="K527" s="30"/>
      <c r="L527" s="31"/>
    </row>
    <row r="528" spans="1:12">
      <c r="A528" s="30"/>
      <c r="B528" s="30"/>
      <c r="C528" s="30"/>
      <c r="D528" s="30"/>
      <c r="E528" s="30"/>
      <c r="F528" s="30"/>
      <c r="G528" s="30"/>
      <c r="H528" s="30"/>
      <c r="I528" s="30"/>
      <c r="J528" s="30"/>
      <c r="K528" s="30"/>
      <c r="L528" s="31"/>
    </row>
    <row r="529" spans="1:12">
      <c r="A529" s="30"/>
      <c r="B529" s="30"/>
      <c r="C529" s="30"/>
      <c r="D529" s="30"/>
      <c r="E529" s="30"/>
      <c r="F529" s="30"/>
      <c r="G529" s="30"/>
      <c r="H529" s="30"/>
      <c r="I529" s="30"/>
      <c r="J529" s="30"/>
      <c r="K529" s="30"/>
      <c r="L529" s="31"/>
    </row>
    <row r="530" spans="1:12">
      <c r="A530" s="30"/>
      <c r="B530" s="30"/>
      <c r="C530" s="30"/>
      <c r="D530" s="30"/>
      <c r="E530" s="30"/>
      <c r="F530" s="30"/>
      <c r="G530" s="30"/>
      <c r="H530" s="30"/>
      <c r="I530" s="30"/>
      <c r="J530" s="30"/>
      <c r="K530" s="30"/>
      <c r="L530" s="31"/>
    </row>
    <row r="531" spans="1:12">
      <c r="A531" s="30"/>
      <c r="B531" s="30"/>
      <c r="C531" s="30"/>
      <c r="D531" s="30"/>
      <c r="E531" s="30"/>
      <c r="F531" s="30"/>
      <c r="G531" s="30"/>
      <c r="H531" s="30"/>
      <c r="I531" s="30"/>
      <c r="J531" s="30"/>
      <c r="K531" s="30"/>
      <c r="L531" s="31"/>
    </row>
    <row r="532" spans="1:12">
      <c r="A532" s="30"/>
      <c r="B532" s="30"/>
      <c r="C532" s="30"/>
      <c r="D532" s="30"/>
      <c r="E532" s="30"/>
      <c r="F532" s="30"/>
      <c r="G532" s="30"/>
      <c r="H532" s="30"/>
      <c r="I532" s="30"/>
      <c r="J532" s="30"/>
      <c r="K532" s="30"/>
      <c r="L532" s="31"/>
    </row>
    <row r="533" spans="1:12">
      <c r="A533" s="30"/>
      <c r="B533" s="30"/>
      <c r="C533" s="30"/>
      <c r="D533" s="30"/>
      <c r="E533" s="30"/>
      <c r="F533" s="30"/>
      <c r="G533" s="30"/>
      <c r="H533" s="30"/>
      <c r="I533" s="30"/>
      <c r="J533" s="30"/>
      <c r="K533" s="30"/>
      <c r="L533" s="31"/>
    </row>
    <row r="534" spans="1:12">
      <c r="A534" s="30"/>
      <c r="B534" s="30"/>
      <c r="C534" s="30"/>
      <c r="D534" s="30"/>
      <c r="E534" s="30"/>
      <c r="F534" s="30"/>
      <c r="G534" s="30"/>
      <c r="H534" s="30"/>
      <c r="I534" s="30"/>
      <c r="J534" s="30"/>
      <c r="K534" s="30"/>
      <c r="L534" s="31"/>
    </row>
    <row r="535" spans="1:12">
      <c r="A535" s="30"/>
      <c r="B535" s="30"/>
      <c r="C535" s="30"/>
      <c r="D535" s="30"/>
      <c r="E535" s="30"/>
      <c r="F535" s="30"/>
      <c r="G535" s="30"/>
      <c r="H535" s="30"/>
      <c r="I535" s="30"/>
      <c r="J535" s="30"/>
      <c r="K535" s="30"/>
      <c r="L535" s="31"/>
    </row>
    <row r="536" spans="1:12">
      <c r="A536" s="30"/>
      <c r="B536" s="30"/>
      <c r="C536" s="30"/>
      <c r="D536" s="30"/>
      <c r="E536" s="30"/>
      <c r="F536" s="30"/>
      <c r="G536" s="30"/>
      <c r="H536" s="30"/>
      <c r="I536" s="30"/>
      <c r="J536" s="30"/>
      <c r="K536" s="30"/>
      <c r="L536" s="31"/>
    </row>
    <row r="537" spans="1:12">
      <c r="A537" s="30"/>
      <c r="B537" s="30"/>
      <c r="C537" s="30"/>
      <c r="D537" s="30"/>
      <c r="E537" s="30"/>
      <c r="F537" s="30"/>
      <c r="G537" s="30"/>
      <c r="H537" s="30"/>
      <c r="I537" s="30"/>
      <c r="J537" s="30"/>
      <c r="K537" s="30"/>
      <c r="L537" s="31"/>
    </row>
    <row r="538" spans="1:12">
      <c r="A538" s="30"/>
      <c r="B538" s="30"/>
      <c r="C538" s="30"/>
      <c r="D538" s="30"/>
      <c r="E538" s="30"/>
      <c r="F538" s="30"/>
      <c r="G538" s="30"/>
      <c r="H538" s="30"/>
      <c r="I538" s="30"/>
      <c r="J538" s="30"/>
      <c r="K538" s="30"/>
      <c r="L538" s="31"/>
    </row>
    <row r="539" spans="1:12">
      <c r="A539" s="30"/>
      <c r="B539" s="30"/>
      <c r="C539" s="30"/>
      <c r="D539" s="30"/>
      <c r="E539" s="30"/>
      <c r="F539" s="30"/>
      <c r="G539" s="30"/>
      <c r="H539" s="30"/>
      <c r="I539" s="30"/>
      <c r="J539" s="30"/>
      <c r="K539" s="30"/>
      <c r="L539" s="31"/>
    </row>
    <row r="540" spans="1:12">
      <c r="A540" s="30"/>
      <c r="B540" s="30"/>
      <c r="C540" s="30"/>
      <c r="D540" s="30"/>
      <c r="E540" s="30"/>
      <c r="F540" s="30"/>
      <c r="G540" s="30"/>
      <c r="H540" s="30"/>
      <c r="I540" s="30"/>
      <c r="J540" s="30"/>
      <c r="K540" s="30"/>
      <c r="L540" s="31"/>
    </row>
    <row r="541" spans="1:12">
      <c r="A541" s="30"/>
      <c r="B541" s="30"/>
      <c r="C541" s="30"/>
      <c r="D541" s="30"/>
      <c r="E541" s="30"/>
      <c r="F541" s="30"/>
      <c r="G541" s="30"/>
      <c r="H541" s="30"/>
      <c r="I541" s="30"/>
      <c r="J541" s="30"/>
      <c r="K541" s="30"/>
      <c r="L541" s="31"/>
    </row>
    <row r="542" spans="1:12">
      <c r="A542" s="30"/>
      <c r="B542" s="30"/>
      <c r="C542" s="30"/>
      <c r="D542" s="30"/>
      <c r="E542" s="30"/>
      <c r="F542" s="30"/>
      <c r="G542" s="30"/>
      <c r="H542" s="30"/>
      <c r="I542" s="30"/>
      <c r="J542" s="30"/>
      <c r="K542" s="30"/>
      <c r="L542" s="31"/>
    </row>
    <row r="543" spans="1:12">
      <c r="A543" s="30"/>
      <c r="B543" s="30"/>
      <c r="C543" s="30"/>
      <c r="D543" s="30"/>
      <c r="E543" s="30"/>
      <c r="F543" s="30"/>
      <c r="G543" s="30"/>
      <c r="H543" s="30"/>
      <c r="I543" s="30"/>
      <c r="J543" s="30"/>
      <c r="K543" s="30"/>
      <c r="L543" s="31"/>
    </row>
    <row r="544" spans="1:12">
      <c r="A544" s="30"/>
      <c r="B544" s="30"/>
      <c r="C544" s="30"/>
      <c r="D544" s="30"/>
      <c r="E544" s="30"/>
      <c r="F544" s="30"/>
      <c r="G544" s="30"/>
      <c r="H544" s="30"/>
      <c r="I544" s="30"/>
      <c r="J544" s="30"/>
      <c r="K544" s="30"/>
      <c r="L544" s="31"/>
    </row>
    <row r="545" spans="1:12">
      <c r="A545" s="30"/>
      <c r="B545" s="30"/>
      <c r="C545" s="30"/>
      <c r="D545" s="30"/>
      <c r="E545" s="30"/>
      <c r="F545" s="30"/>
      <c r="G545" s="30"/>
      <c r="H545" s="30"/>
      <c r="I545" s="30"/>
      <c r="J545" s="30"/>
      <c r="K545" s="30"/>
      <c r="L545" s="31"/>
    </row>
    <row r="546" spans="1:12">
      <c r="A546" s="30"/>
      <c r="B546" s="30"/>
      <c r="C546" s="30"/>
      <c r="D546" s="30"/>
      <c r="E546" s="30"/>
      <c r="F546" s="30"/>
      <c r="G546" s="30"/>
      <c r="H546" s="30"/>
      <c r="I546" s="30"/>
      <c r="J546" s="30"/>
      <c r="K546" s="30"/>
      <c r="L546" s="31"/>
    </row>
    <row r="547" spans="1:12">
      <c r="A547" s="30"/>
      <c r="B547" s="30"/>
      <c r="C547" s="30"/>
      <c r="D547" s="30"/>
      <c r="E547" s="30"/>
      <c r="F547" s="30"/>
      <c r="G547" s="30"/>
      <c r="H547" s="30"/>
      <c r="I547" s="30"/>
      <c r="J547" s="30"/>
      <c r="K547" s="30"/>
      <c r="L547" s="31"/>
    </row>
    <row r="548" spans="1:12">
      <c r="A548" s="30"/>
      <c r="B548" s="30"/>
      <c r="C548" s="30"/>
      <c r="D548" s="30"/>
      <c r="E548" s="30"/>
      <c r="F548" s="30"/>
      <c r="G548" s="30"/>
      <c r="H548" s="30"/>
      <c r="I548" s="30"/>
      <c r="J548" s="30"/>
      <c r="K548" s="30"/>
      <c r="L548" s="31"/>
    </row>
    <row r="549" spans="1:12">
      <c r="A549" s="30"/>
      <c r="B549" s="30"/>
      <c r="C549" s="30"/>
      <c r="D549" s="30"/>
      <c r="E549" s="30"/>
      <c r="F549" s="30"/>
      <c r="G549" s="30"/>
      <c r="H549" s="30"/>
      <c r="I549" s="30"/>
      <c r="J549" s="30"/>
      <c r="K549" s="30"/>
      <c r="L549" s="31"/>
    </row>
    <row r="550" spans="1:12">
      <c r="A550" s="30"/>
      <c r="B550" s="30"/>
      <c r="C550" s="30"/>
      <c r="D550" s="30"/>
      <c r="E550" s="30"/>
      <c r="F550" s="30"/>
      <c r="G550" s="30"/>
      <c r="H550" s="30"/>
      <c r="I550" s="30"/>
      <c r="J550" s="30"/>
      <c r="K550" s="30"/>
      <c r="L550" s="31"/>
    </row>
    <row r="551" spans="1:12">
      <c r="A551" s="30"/>
      <c r="B551" s="30"/>
      <c r="C551" s="30"/>
      <c r="D551" s="30"/>
      <c r="E551" s="30"/>
      <c r="F551" s="30"/>
      <c r="G551" s="30"/>
      <c r="H551" s="30"/>
      <c r="I551" s="30"/>
      <c r="J551" s="30"/>
      <c r="K551" s="30"/>
      <c r="L551" s="31"/>
    </row>
    <row r="552" spans="1:12">
      <c r="A552" s="30"/>
      <c r="B552" s="30"/>
      <c r="C552" s="30"/>
      <c r="D552" s="30"/>
      <c r="E552" s="30"/>
      <c r="F552" s="30"/>
      <c r="G552" s="30"/>
      <c r="H552" s="30"/>
      <c r="I552" s="30"/>
      <c r="J552" s="30"/>
      <c r="K552" s="30"/>
      <c r="L552" s="31"/>
    </row>
    <row r="553" spans="1:12">
      <c r="A553" s="30"/>
      <c r="B553" s="30"/>
      <c r="C553" s="30"/>
      <c r="D553" s="30"/>
      <c r="E553" s="30"/>
      <c r="F553" s="30"/>
      <c r="G553" s="30"/>
      <c r="H553" s="30"/>
      <c r="I553" s="30"/>
      <c r="J553" s="30"/>
      <c r="K553" s="30"/>
      <c r="L553" s="31"/>
    </row>
    <row r="554" spans="1:12">
      <c r="A554" s="30"/>
      <c r="B554" s="30"/>
      <c r="C554" s="30"/>
      <c r="D554" s="30"/>
      <c r="E554" s="30"/>
      <c r="F554" s="30"/>
      <c r="G554" s="30"/>
      <c r="H554" s="30"/>
      <c r="I554" s="30"/>
      <c r="J554" s="30"/>
      <c r="K554" s="30"/>
      <c r="L554" s="31"/>
    </row>
    <row r="555" spans="1:12">
      <c r="A555" s="30"/>
      <c r="B555" s="30"/>
      <c r="C555" s="30"/>
      <c r="D555" s="30"/>
      <c r="E555" s="30"/>
      <c r="F555" s="30"/>
      <c r="G555" s="30"/>
      <c r="H555" s="30"/>
      <c r="I555" s="30"/>
      <c r="J555" s="30"/>
      <c r="K555" s="30"/>
      <c r="L555" s="31"/>
    </row>
    <row r="556" spans="1:12">
      <c r="A556" s="30"/>
      <c r="B556" s="30"/>
      <c r="C556" s="30"/>
      <c r="D556" s="30"/>
      <c r="E556" s="30"/>
      <c r="F556" s="30"/>
      <c r="G556" s="30"/>
      <c r="H556" s="30"/>
      <c r="I556" s="30"/>
      <c r="J556" s="30"/>
      <c r="K556" s="30"/>
      <c r="L556" s="31"/>
    </row>
    <row r="557" spans="1:12">
      <c r="A557" s="30"/>
      <c r="B557" s="30"/>
      <c r="C557" s="30"/>
      <c r="D557" s="30"/>
      <c r="E557" s="30"/>
      <c r="F557" s="30"/>
      <c r="G557" s="30"/>
      <c r="H557" s="30"/>
      <c r="I557" s="30"/>
      <c r="J557" s="30"/>
      <c r="K557" s="30"/>
      <c r="L557" s="31"/>
    </row>
    <row r="558" spans="1:12">
      <c r="A558" s="30"/>
      <c r="B558" s="30"/>
      <c r="C558" s="30"/>
      <c r="D558" s="30"/>
      <c r="E558" s="30"/>
      <c r="F558" s="30"/>
      <c r="G558" s="30"/>
      <c r="H558" s="30"/>
      <c r="I558" s="30"/>
      <c r="J558" s="30"/>
      <c r="K558" s="30"/>
      <c r="L558" s="31"/>
    </row>
    <row r="559" spans="1:12">
      <c r="A559" s="30"/>
      <c r="B559" s="30"/>
      <c r="C559" s="30"/>
      <c r="D559" s="30"/>
      <c r="E559" s="30"/>
      <c r="F559" s="30"/>
      <c r="G559" s="30"/>
      <c r="H559" s="30"/>
      <c r="I559" s="30"/>
      <c r="J559" s="30"/>
      <c r="K559" s="30"/>
      <c r="L559" s="31"/>
    </row>
    <row r="560" spans="1:12">
      <c r="A560" s="30"/>
      <c r="B560" s="30"/>
      <c r="C560" s="30"/>
      <c r="D560" s="30"/>
      <c r="E560" s="30"/>
      <c r="F560" s="30"/>
      <c r="G560" s="30"/>
      <c r="H560" s="30"/>
      <c r="I560" s="30"/>
      <c r="J560" s="30"/>
      <c r="K560" s="30"/>
      <c r="L560" s="31"/>
    </row>
    <row r="561" spans="1:12">
      <c r="A561" s="30"/>
      <c r="B561" s="30"/>
      <c r="C561" s="30"/>
      <c r="D561" s="30"/>
      <c r="E561" s="30"/>
      <c r="F561" s="30"/>
      <c r="G561" s="30"/>
      <c r="H561" s="30"/>
      <c r="I561" s="30"/>
      <c r="J561" s="30"/>
      <c r="K561" s="30"/>
      <c r="L561" s="31"/>
    </row>
    <row r="562" spans="1:12">
      <c r="A562" s="30"/>
      <c r="B562" s="30"/>
      <c r="C562" s="30"/>
      <c r="D562" s="30"/>
      <c r="E562" s="30"/>
      <c r="F562" s="30"/>
      <c r="G562" s="30"/>
      <c r="H562" s="30"/>
      <c r="I562" s="30"/>
      <c r="J562" s="30"/>
      <c r="K562" s="30"/>
      <c r="L562" s="31"/>
    </row>
    <row r="563" spans="1:12">
      <c r="A563" s="30"/>
      <c r="B563" s="30"/>
      <c r="C563" s="30"/>
      <c r="D563" s="30"/>
      <c r="E563" s="30"/>
      <c r="F563" s="30"/>
      <c r="G563" s="30"/>
      <c r="H563" s="30"/>
      <c r="I563" s="30"/>
      <c r="J563" s="30"/>
      <c r="K563" s="30"/>
      <c r="L563" s="31"/>
    </row>
    <row r="564" spans="1:12">
      <c r="A564" s="30"/>
      <c r="B564" s="30"/>
      <c r="C564" s="30"/>
      <c r="D564" s="30"/>
      <c r="E564" s="30"/>
      <c r="F564" s="30"/>
      <c r="G564" s="30"/>
      <c r="H564" s="30"/>
      <c r="I564" s="30"/>
      <c r="J564" s="30"/>
      <c r="K564" s="30"/>
      <c r="L564" s="31"/>
    </row>
    <row r="565" spans="1:12">
      <c r="A565" s="30"/>
      <c r="B565" s="30"/>
      <c r="C565" s="30"/>
      <c r="D565" s="30"/>
      <c r="E565" s="30"/>
      <c r="F565" s="30"/>
      <c r="G565" s="30"/>
      <c r="H565" s="30"/>
      <c r="I565" s="30"/>
      <c r="J565" s="30"/>
      <c r="K565" s="30"/>
      <c r="L565" s="31"/>
    </row>
    <row r="566" spans="1:12">
      <c r="A566" s="30"/>
      <c r="B566" s="30"/>
      <c r="C566" s="30"/>
      <c r="D566" s="30"/>
      <c r="E566" s="30"/>
      <c r="F566" s="30"/>
      <c r="G566" s="30"/>
      <c r="H566" s="30"/>
      <c r="I566" s="30"/>
      <c r="J566" s="30"/>
      <c r="K566" s="30"/>
      <c r="L566" s="31"/>
    </row>
    <row r="567" spans="1:12">
      <c r="A567" s="30"/>
      <c r="B567" s="30"/>
      <c r="C567" s="30"/>
      <c r="D567" s="30"/>
      <c r="E567" s="30"/>
      <c r="F567" s="30"/>
      <c r="G567" s="30"/>
      <c r="H567" s="30"/>
      <c r="I567" s="30"/>
      <c r="J567" s="30"/>
      <c r="K567" s="30"/>
      <c r="L567" s="31"/>
    </row>
    <row r="568" spans="1:12">
      <c r="A568" s="30"/>
      <c r="B568" s="30"/>
      <c r="C568" s="30"/>
      <c r="D568" s="30"/>
      <c r="E568" s="30"/>
      <c r="F568" s="30"/>
      <c r="G568" s="30"/>
      <c r="H568" s="30"/>
      <c r="I568" s="30"/>
      <c r="J568" s="30"/>
      <c r="K568" s="30"/>
      <c r="L568" s="31"/>
    </row>
    <row r="569" spans="1:12">
      <c r="A569" s="30"/>
      <c r="B569" s="30"/>
      <c r="C569" s="30"/>
      <c r="D569" s="30"/>
      <c r="E569" s="30"/>
      <c r="F569" s="30"/>
      <c r="G569" s="30"/>
      <c r="H569" s="30"/>
      <c r="I569" s="30"/>
      <c r="J569" s="30"/>
      <c r="K569" s="30"/>
      <c r="L569" s="31"/>
    </row>
    <row r="570" spans="1:12">
      <c r="A570" s="30"/>
      <c r="B570" s="30"/>
      <c r="C570" s="30"/>
      <c r="D570" s="30"/>
      <c r="E570" s="30"/>
      <c r="F570" s="30"/>
      <c r="G570" s="30"/>
      <c r="H570" s="30"/>
      <c r="I570" s="30"/>
      <c r="J570" s="30"/>
      <c r="K570" s="30"/>
      <c r="L570" s="31"/>
    </row>
    <row r="571" spans="1:12">
      <c r="A571" s="30"/>
      <c r="B571" s="30"/>
      <c r="C571" s="30"/>
      <c r="D571" s="30"/>
      <c r="E571" s="30"/>
      <c r="F571" s="30"/>
      <c r="G571" s="30"/>
      <c r="H571" s="30"/>
      <c r="I571" s="30"/>
      <c r="J571" s="30"/>
      <c r="K571" s="30"/>
      <c r="L571" s="31"/>
    </row>
    <row r="572" spans="1:12">
      <c r="A572" s="30"/>
      <c r="B572" s="30"/>
      <c r="C572" s="30"/>
      <c r="D572" s="30"/>
      <c r="E572" s="30"/>
      <c r="F572" s="30"/>
      <c r="G572" s="30"/>
      <c r="H572" s="30"/>
      <c r="I572" s="30"/>
      <c r="J572" s="30"/>
      <c r="K572" s="30"/>
      <c r="L572" s="31"/>
    </row>
    <row r="573" spans="1:12">
      <c r="A573" s="30"/>
      <c r="B573" s="30"/>
      <c r="C573" s="30"/>
      <c r="D573" s="30"/>
      <c r="E573" s="30"/>
      <c r="F573" s="30"/>
      <c r="G573" s="30"/>
      <c r="H573" s="30"/>
      <c r="I573" s="30"/>
      <c r="J573" s="30"/>
      <c r="K573" s="30"/>
      <c r="L573" s="31"/>
    </row>
    <row r="574" spans="1:12">
      <c r="A574" s="30"/>
      <c r="B574" s="30"/>
      <c r="C574" s="30"/>
      <c r="D574" s="30"/>
      <c r="E574" s="30"/>
      <c r="F574" s="30"/>
      <c r="G574" s="30"/>
      <c r="H574" s="30"/>
      <c r="I574" s="30"/>
      <c r="J574" s="30"/>
      <c r="K574" s="30"/>
      <c r="L574" s="31"/>
    </row>
    <row r="575" spans="1:12">
      <c r="A575" s="30"/>
      <c r="B575" s="30"/>
      <c r="C575" s="30"/>
      <c r="D575" s="30"/>
      <c r="E575" s="30"/>
      <c r="F575" s="30"/>
      <c r="G575" s="30"/>
      <c r="H575" s="30"/>
      <c r="I575" s="30"/>
      <c r="J575" s="30"/>
      <c r="K575" s="30"/>
      <c r="L575" s="31"/>
    </row>
    <row r="576" spans="1:12">
      <c r="A576" s="30"/>
      <c r="B576" s="30"/>
      <c r="C576" s="30"/>
      <c r="D576" s="30"/>
      <c r="E576" s="30"/>
      <c r="F576" s="30"/>
      <c r="G576" s="30"/>
      <c r="H576" s="30"/>
      <c r="I576" s="30"/>
      <c r="J576" s="30"/>
      <c r="K576" s="30"/>
      <c r="L576" s="31"/>
    </row>
    <row r="577" spans="1:12">
      <c r="A577" s="30"/>
      <c r="B577" s="30"/>
      <c r="C577" s="30"/>
      <c r="D577" s="30"/>
      <c r="E577" s="30"/>
      <c r="F577" s="30"/>
      <c r="G577" s="30"/>
      <c r="H577" s="30"/>
      <c r="I577" s="30"/>
      <c r="J577" s="30"/>
      <c r="K577" s="30"/>
      <c r="L577" s="31"/>
    </row>
    <row r="578" spans="1:12">
      <c r="A578" s="30"/>
      <c r="B578" s="30"/>
      <c r="C578" s="30"/>
      <c r="D578" s="30"/>
      <c r="E578" s="30"/>
      <c r="F578" s="30"/>
      <c r="G578" s="30"/>
      <c r="H578" s="30"/>
      <c r="I578" s="30"/>
      <c r="J578" s="30"/>
      <c r="K578" s="30"/>
      <c r="L578" s="31"/>
    </row>
    <row r="579" spans="1:12">
      <c r="A579" s="30"/>
      <c r="B579" s="30"/>
      <c r="C579" s="30"/>
      <c r="D579" s="30"/>
      <c r="E579" s="30"/>
      <c r="F579" s="30"/>
      <c r="G579" s="30"/>
      <c r="H579" s="30"/>
      <c r="I579" s="30"/>
      <c r="J579" s="30"/>
      <c r="K579" s="30"/>
      <c r="L579" s="31"/>
    </row>
    <row r="580" spans="1:12">
      <c r="A580" s="30"/>
      <c r="B580" s="30"/>
      <c r="C580" s="30"/>
      <c r="D580" s="30"/>
      <c r="E580" s="30"/>
      <c r="F580" s="30"/>
      <c r="G580" s="30"/>
      <c r="H580" s="30"/>
      <c r="I580" s="30"/>
      <c r="J580" s="30"/>
      <c r="K580" s="30"/>
      <c r="L580" s="31"/>
    </row>
    <row r="581" spans="1:12">
      <c r="A581" s="30"/>
      <c r="B581" s="30"/>
      <c r="C581" s="30"/>
      <c r="D581" s="30"/>
      <c r="E581" s="30"/>
      <c r="F581" s="30"/>
      <c r="G581" s="30"/>
      <c r="H581" s="30"/>
      <c r="I581" s="30"/>
      <c r="J581" s="30"/>
      <c r="K581" s="30"/>
      <c r="L581" s="31"/>
    </row>
    <row r="582" spans="1:12">
      <c r="A582" s="30"/>
      <c r="B582" s="30"/>
      <c r="C582" s="30"/>
      <c r="D582" s="30"/>
      <c r="E582" s="30"/>
      <c r="F582" s="30"/>
      <c r="G582" s="30"/>
      <c r="H582" s="30"/>
      <c r="I582" s="30"/>
      <c r="J582" s="30"/>
      <c r="K582" s="30"/>
      <c r="L582" s="31"/>
    </row>
    <row r="583" spans="1:12">
      <c r="A583" s="30"/>
      <c r="B583" s="30"/>
      <c r="C583" s="30"/>
      <c r="D583" s="30"/>
      <c r="E583" s="30"/>
      <c r="F583" s="30"/>
      <c r="G583" s="30"/>
      <c r="H583" s="30"/>
      <c r="I583" s="30"/>
      <c r="J583" s="30"/>
      <c r="K583" s="30"/>
      <c r="L583" s="31"/>
    </row>
    <row r="584" spans="1:12">
      <c r="A584" s="30"/>
      <c r="B584" s="30"/>
      <c r="C584" s="30"/>
      <c r="D584" s="30"/>
      <c r="E584" s="30"/>
      <c r="F584" s="30"/>
      <c r="G584" s="30"/>
      <c r="H584" s="30"/>
      <c r="I584" s="30"/>
      <c r="J584" s="30"/>
      <c r="K584" s="30"/>
      <c r="L584" s="31"/>
    </row>
    <row r="585" spans="1:12">
      <c r="A585" s="30"/>
      <c r="B585" s="30"/>
      <c r="C585" s="30"/>
      <c r="D585" s="30"/>
      <c r="E585" s="30"/>
      <c r="F585" s="30"/>
      <c r="G585" s="30"/>
      <c r="H585" s="30"/>
      <c r="I585" s="30"/>
      <c r="J585" s="30"/>
      <c r="K585" s="30"/>
      <c r="L585" s="31"/>
    </row>
    <row r="586" spans="1:12">
      <c r="A586" s="30"/>
      <c r="B586" s="30"/>
      <c r="C586" s="30"/>
      <c r="D586" s="30"/>
      <c r="E586" s="30"/>
      <c r="F586" s="30"/>
      <c r="G586" s="30"/>
      <c r="H586" s="30"/>
      <c r="I586" s="30"/>
      <c r="J586" s="30"/>
      <c r="K586" s="30"/>
      <c r="L586" s="31"/>
    </row>
    <row r="587" spans="1:12">
      <c r="A587" s="30"/>
      <c r="B587" s="30"/>
      <c r="C587" s="30"/>
      <c r="D587" s="30"/>
      <c r="E587" s="30"/>
      <c r="F587" s="30"/>
      <c r="G587" s="30"/>
      <c r="H587" s="30"/>
      <c r="I587" s="30"/>
      <c r="J587" s="30"/>
      <c r="K587" s="30"/>
      <c r="L587" s="31"/>
    </row>
    <row r="588" spans="1:12">
      <c r="A588" s="30"/>
      <c r="B588" s="30"/>
      <c r="C588" s="30"/>
      <c r="D588" s="30"/>
      <c r="E588" s="30"/>
      <c r="F588" s="30"/>
      <c r="G588" s="30"/>
      <c r="H588" s="30"/>
      <c r="I588" s="30"/>
      <c r="J588" s="30"/>
      <c r="K588" s="30"/>
      <c r="L588" s="31"/>
    </row>
    <row r="589" spans="1:12">
      <c r="A589" s="30"/>
      <c r="B589" s="30"/>
      <c r="C589" s="30"/>
      <c r="D589" s="30"/>
      <c r="E589" s="30"/>
      <c r="F589" s="30"/>
      <c r="G589" s="30"/>
      <c r="H589" s="30"/>
      <c r="I589" s="30"/>
      <c r="J589" s="30"/>
      <c r="K589" s="30"/>
      <c r="L589" s="31"/>
    </row>
    <row r="590" spans="1:12">
      <c r="A590" s="30"/>
      <c r="B590" s="30"/>
      <c r="C590" s="30"/>
      <c r="D590" s="30"/>
      <c r="E590" s="30"/>
      <c r="F590" s="30"/>
      <c r="G590" s="30"/>
      <c r="H590" s="30"/>
      <c r="I590" s="30"/>
      <c r="J590" s="30"/>
      <c r="K590" s="30"/>
      <c r="L590" s="31"/>
    </row>
    <row r="591" spans="1:12">
      <c r="A591" s="30"/>
      <c r="B591" s="30"/>
      <c r="C591" s="30"/>
      <c r="D591" s="30"/>
      <c r="E591" s="30"/>
      <c r="F591" s="30"/>
      <c r="G591" s="30"/>
      <c r="H591" s="30"/>
      <c r="I591" s="30"/>
      <c r="J591" s="30"/>
      <c r="K591" s="30"/>
      <c r="L591" s="31"/>
    </row>
    <row r="592" spans="1:12">
      <c r="A592" s="30"/>
      <c r="B592" s="30"/>
      <c r="C592" s="30"/>
      <c r="D592" s="30"/>
      <c r="E592" s="30"/>
      <c r="F592" s="30"/>
      <c r="G592" s="30"/>
      <c r="H592" s="30"/>
      <c r="I592" s="30"/>
      <c r="J592" s="30"/>
      <c r="K592" s="30"/>
      <c r="L592" s="31"/>
    </row>
    <row r="593" spans="1:12">
      <c r="A593" s="30"/>
      <c r="B593" s="30"/>
      <c r="C593" s="30"/>
      <c r="D593" s="30"/>
      <c r="E593" s="30"/>
      <c r="F593" s="30"/>
      <c r="G593" s="30"/>
      <c r="H593" s="30"/>
      <c r="I593" s="30"/>
      <c r="J593" s="30"/>
      <c r="K593" s="30"/>
      <c r="L593" s="31"/>
    </row>
    <row r="594" spans="1:12">
      <c r="A594" s="30"/>
      <c r="B594" s="30"/>
      <c r="C594" s="30"/>
      <c r="D594" s="30"/>
      <c r="E594" s="30"/>
      <c r="F594" s="30"/>
      <c r="G594" s="30"/>
      <c r="H594" s="30"/>
      <c r="I594" s="30"/>
      <c r="J594" s="30"/>
      <c r="K594" s="30"/>
      <c r="L594" s="31"/>
    </row>
    <row r="595" spans="1:12">
      <c r="A595" s="30"/>
      <c r="B595" s="30"/>
      <c r="C595" s="30"/>
      <c r="D595" s="30"/>
      <c r="E595" s="30"/>
      <c r="F595" s="30"/>
      <c r="G595" s="30"/>
      <c r="H595" s="30"/>
      <c r="I595" s="30"/>
      <c r="J595" s="30"/>
      <c r="K595" s="30"/>
      <c r="L595" s="31"/>
    </row>
    <row r="596" spans="1:12">
      <c r="A596" s="30"/>
      <c r="B596" s="30"/>
      <c r="C596" s="30"/>
      <c r="D596" s="30"/>
      <c r="E596" s="30"/>
      <c r="F596" s="30"/>
      <c r="G596" s="30"/>
      <c r="H596" s="30"/>
      <c r="I596" s="30"/>
      <c r="J596" s="30"/>
      <c r="K596" s="30"/>
      <c r="L596" s="31"/>
    </row>
    <row r="597" spans="1:12">
      <c r="A597" s="30"/>
      <c r="B597" s="30"/>
      <c r="C597" s="30"/>
      <c r="D597" s="30"/>
      <c r="E597" s="30"/>
      <c r="F597" s="30"/>
      <c r="G597" s="30"/>
      <c r="H597" s="30"/>
      <c r="I597" s="30"/>
      <c r="J597" s="30"/>
      <c r="K597" s="30"/>
      <c r="L597" s="31"/>
    </row>
    <row r="598" spans="1:12">
      <c r="A598" s="30"/>
      <c r="B598" s="30"/>
      <c r="C598" s="30"/>
      <c r="D598" s="30"/>
      <c r="E598" s="30"/>
      <c r="F598" s="30"/>
      <c r="G598" s="30"/>
      <c r="H598" s="30"/>
      <c r="I598" s="30"/>
      <c r="J598" s="30"/>
      <c r="K598" s="30"/>
      <c r="L598" s="31"/>
    </row>
    <row r="599" spans="1:12">
      <c r="A599" s="30"/>
      <c r="B599" s="30"/>
      <c r="C599" s="30"/>
      <c r="D599" s="30"/>
      <c r="E599" s="30"/>
      <c r="F599" s="30"/>
      <c r="G599" s="30"/>
      <c r="H599" s="30"/>
      <c r="I599" s="30"/>
      <c r="J599" s="30"/>
      <c r="K599" s="30"/>
      <c r="L599" s="31"/>
    </row>
    <row r="600" spans="1:12">
      <c r="A600" s="30"/>
      <c r="B600" s="30"/>
      <c r="C600" s="30"/>
      <c r="D600" s="30"/>
      <c r="E600" s="30"/>
      <c r="F600" s="30"/>
      <c r="G600" s="30"/>
      <c r="H600" s="30"/>
      <c r="I600" s="30"/>
      <c r="J600" s="30"/>
      <c r="K600" s="30"/>
      <c r="L600" s="31"/>
    </row>
    <row r="601" spans="1:12">
      <c r="A601" s="30"/>
      <c r="B601" s="30"/>
      <c r="C601" s="30"/>
      <c r="D601" s="30"/>
      <c r="E601" s="30"/>
      <c r="F601" s="30"/>
      <c r="G601" s="30"/>
      <c r="H601" s="30"/>
      <c r="I601" s="30"/>
      <c r="J601" s="30"/>
      <c r="K601" s="30"/>
      <c r="L601" s="31"/>
    </row>
    <row r="602" spans="1:12">
      <c r="A602" s="30"/>
      <c r="B602" s="30"/>
      <c r="C602" s="30"/>
      <c r="D602" s="30"/>
      <c r="E602" s="30"/>
      <c r="F602" s="30"/>
      <c r="G602" s="30"/>
      <c r="H602" s="30"/>
      <c r="I602" s="30"/>
      <c r="J602" s="30"/>
      <c r="K602" s="30"/>
      <c r="L602" s="31"/>
    </row>
    <row r="603" spans="1:12">
      <c r="A603" s="30"/>
      <c r="B603" s="30"/>
      <c r="C603" s="30"/>
      <c r="D603" s="30"/>
      <c r="E603" s="30"/>
      <c r="F603" s="30"/>
      <c r="G603" s="30"/>
      <c r="H603" s="30"/>
      <c r="I603" s="30"/>
      <c r="J603" s="30"/>
      <c r="K603" s="30"/>
      <c r="L603" s="31"/>
    </row>
    <row r="604" spans="1:12">
      <c r="A604" s="30"/>
      <c r="B604" s="30"/>
      <c r="C604" s="30"/>
      <c r="D604" s="30"/>
      <c r="E604" s="30"/>
      <c r="F604" s="30"/>
      <c r="G604" s="30"/>
      <c r="H604" s="30"/>
      <c r="I604" s="30"/>
      <c r="J604" s="30"/>
      <c r="K604" s="30"/>
      <c r="L604" s="31"/>
    </row>
    <row r="605" spans="1:12">
      <c r="A605" s="30"/>
      <c r="B605" s="30"/>
      <c r="C605" s="30"/>
      <c r="D605" s="30"/>
      <c r="E605" s="30"/>
      <c r="F605" s="30"/>
      <c r="G605" s="30"/>
      <c r="H605" s="30"/>
      <c r="I605" s="30"/>
      <c r="J605" s="30"/>
      <c r="K605" s="30"/>
      <c r="L605" s="31"/>
    </row>
    <row r="606" spans="1:12">
      <c r="A606" s="30"/>
      <c r="B606" s="30"/>
      <c r="C606" s="30"/>
      <c r="D606" s="30"/>
      <c r="E606" s="30"/>
      <c r="F606" s="30"/>
      <c r="G606" s="30"/>
      <c r="H606" s="30"/>
      <c r="I606" s="30"/>
      <c r="J606" s="30"/>
      <c r="K606" s="30"/>
      <c r="L606" s="31"/>
    </row>
    <row r="607" spans="1:12">
      <c r="A607" s="30"/>
      <c r="B607" s="30"/>
      <c r="C607" s="30"/>
      <c r="D607" s="30"/>
      <c r="E607" s="30"/>
      <c r="F607" s="30"/>
      <c r="G607" s="30"/>
      <c r="H607" s="30"/>
      <c r="I607" s="30"/>
      <c r="J607" s="30"/>
      <c r="K607" s="30"/>
      <c r="L607" s="31"/>
    </row>
    <row r="608" spans="1:12">
      <c r="A608" s="30"/>
      <c r="B608" s="30"/>
      <c r="C608" s="30"/>
      <c r="D608" s="30"/>
      <c r="E608" s="30"/>
      <c r="F608" s="30"/>
      <c r="G608" s="30"/>
      <c r="H608" s="30"/>
      <c r="I608" s="30"/>
      <c r="J608" s="30"/>
      <c r="K608" s="30"/>
      <c r="L608" s="31"/>
    </row>
    <row r="609" spans="1:12">
      <c r="A609" s="30"/>
      <c r="B609" s="30"/>
      <c r="C609" s="30"/>
      <c r="D609" s="30"/>
      <c r="E609" s="30"/>
      <c r="F609" s="30"/>
      <c r="G609" s="30"/>
      <c r="H609" s="30"/>
      <c r="I609" s="30"/>
      <c r="J609" s="30"/>
      <c r="K609" s="30"/>
      <c r="L609" s="31"/>
    </row>
    <row r="610" spans="1:12">
      <c r="A610" s="30"/>
      <c r="B610" s="30"/>
      <c r="C610" s="30"/>
      <c r="D610" s="30"/>
      <c r="E610" s="30"/>
      <c r="F610" s="30"/>
      <c r="G610" s="30"/>
      <c r="H610" s="30"/>
      <c r="I610" s="30"/>
      <c r="J610" s="30"/>
      <c r="K610" s="30"/>
      <c r="L610" s="31"/>
    </row>
    <row r="611" spans="1:12">
      <c r="A611" s="30"/>
      <c r="B611" s="30"/>
      <c r="C611" s="30"/>
      <c r="D611" s="30"/>
      <c r="E611" s="30"/>
      <c r="F611" s="30"/>
      <c r="G611" s="30"/>
      <c r="H611" s="30"/>
      <c r="I611" s="30"/>
      <c r="J611" s="30"/>
      <c r="K611" s="30"/>
      <c r="L611" s="31"/>
    </row>
    <row r="612" spans="1:12">
      <c r="A612" s="30"/>
      <c r="B612" s="30"/>
      <c r="C612" s="30"/>
      <c r="D612" s="30"/>
      <c r="E612" s="30"/>
      <c r="F612" s="30"/>
      <c r="G612" s="30"/>
      <c r="H612" s="30"/>
      <c r="I612" s="30"/>
      <c r="J612" s="30"/>
      <c r="K612" s="30"/>
      <c r="L612" s="31"/>
    </row>
    <row r="613" spans="1:12">
      <c r="A613" s="30"/>
      <c r="B613" s="30"/>
      <c r="C613" s="30"/>
      <c r="D613" s="30"/>
      <c r="E613" s="30"/>
      <c r="F613" s="30"/>
      <c r="G613" s="30"/>
      <c r="H613" s="30"/>
      <c r="I613" s="30"/>
      <c r="J613" s="30"/>
      <c r="K613" s="30"/>
      <c r="L613" s="31"/>
    </row>
    <row r="614" spans="1:12">
      <c r="A614" s="30"/>
      <c r="B614" s="30"/>
      <c r="C614" s="30"/>
      <c r="D614" s="30"/>
      <c r="E614" s="30"/>
      <c r="F614" s="30"/>
      <c r="G614" s="30"/>
      <c r="H614" s="30"/>
      <c r="I614" s="30"/>
      <c r="J614" s="30"/>
      <c r="K614" s="30"/>
      <c r="L614" s="31"/>
    </row>
    <row r="615" spans="1:12">
      <c r="A615" s="30"/>
      <c r="B615" s="30"/>
      <c r="C615" s="30"/>
      <c r="D615" s="30"/>
      <c r="E615" s="30"/>
      <c r="F615" s="30"/>
      <c r="G615" s="30"/>
      <c r="H615" s="30"/>
      <c r="I615" s="30"/>
      <c r="J615" s="30"/>
      <c r="K615" s="30"/>
      <c r="L615" s="31"/>
    </row>
    <row r="616" spans="1:12">
      <c r="A616" s="30"/>
      <c r="B616" s="30"/>
      <c r="C616" s="30"/>
      <c r="D616" s="30"/>
      <c r="E616" s="30"/>
      <c r="F616" s="30"/>
      <c r="G616" s="30"/>
      <c r="H616" s="30"/>
      <c r="I616" s="30"/>
      <c r="J616" s="30"/>
      <c r="K616" s="30"/>
      <c r="L616" s="31"/>
    </row>
    <row r="617" spans="1:12">
      <c r="A617" s="30"/>
      <c r="B617" s="30"/>
      <c r="C617" s="30"/>
      <c r="D617" s="30"/>
      <c r="E617" s="30"/>
      <c r="F617" s="30"/>
      <c r="G617" s="30"/>
      <c r="H617" s="30"/>
      <c r="I617" s="30"/>
      <c r="J617" s="30"/>
      <c r="K617" s="30"/>
      <c r="L617" s="31"/>
    </row>
    <row r="618" spans="1:12">
      <c r="A618" s="30"/>
      <c r="B618" s="30"/>
      <c r="C618" s="30"/>
      <c r="D618" s="30"/>
      <c r="E618" s="30"/>
      <c r="F618" s="30"/>
      <c r="G618" s="30"/>
      <c r="H618" s="30"/>
      <c r="I618" s="30"/>
      <c r="J618" s="30"/>
      <c r="K618" s="30"/>
      <c r="L618" s="31"/>
    </row>
    <row r="619" spans="1:12">
      <c r="A619" s="30"/>
      <c r="B619" s="30"/>
      <c r="C619" s="30"/>
      <c r="D619" s="30"/>
      <c r="E619" s="30"/>
      <c r="F619" s="30"/>
      <c r="G619" s="30"/>
      <c r="H619" s="30"/>
      <c r="I619" s="30"/>
      <c r="J619" s="30"/>
      <c r="K619" s="30"/>
      <c r="L619" s="31"/>
    </row>
    <row r="620" spans="1:12">
      <c r="A620" s="30"/>
      <c r="B620" s="30"/>
      <c r="C620" s="30"/>
      <c r="D620" s="30"/>
      <c r="E620" s="30"/>
      <c r="F620" s="30"/>
      <c r="G620" s="30"/>
      <c r="H620" s="30"/>
      <c r="I620" s="30"/>
      <c r="J620" s="30"/>
      <c r="K620" s="30"/>
      <c r="L620" s="31"/>
    </row>
    <row r="621" spans="1:12">
      <c r="A621" s="30"/>
      <c r="B621" s="30"/>
      <c r="C621" s="30"/>
      <c r="D621" s="30"/>
      <c r="E621" s="30"/>
      <c r="F621" s="30"/>
      <c r="G621" s="30"/>
      <c r="H621" s="30"/>
      <c r="I621" s="30"/>
      <c r="J621" s="30"/>
      <c r="K621" s="30"/>
      <c r="L621" s="31"/>
    </row>
    <row r="622" spans="1:12">
      <c r="A622" s="30"/>
      <c r="B622" s="30"/>
      <c r="C622" s="30"/>
      <c r="D622" s="30"/>
      <c r="E622" s="30"/>
      <c r="F622" s="30"/>
      <c r="G622" s="30"/>
      <c r="H622" s="30"/>
      <c r="I622" s="30"/>
      <c r="J622" s="30"/>
      <c r="K622" s="30"/>
      <c r="L622" s="31"/>
    </row>
    <row r="623" spans="1:12">
      <c r="A623" s="30"/>
      <c r="B623" s="30"/>
      <c r="C623" s="30"/>
      <c r="D623" s="30"/>
      <c r="E623" s="30"/>
      <c r="F623" s="30"/>
      <c r="G623" s="30"/>
      <c r="H623" s="30"/>
      <c r="I623" s="30"/>
      <c r="J623" s="30"/>
      <c r="K623" s="30"/>
      <c r="L623" s="31"/>
    </row>
    <row r="624" spans="1:12">
      <c r="A624" s="30"/>
      <c r="B624" s="30"/>
      <c r="C624" s="30"/>
      <c r="D624" s="30"/>
      <c r="E624" s="30"/>
      <c r="F624" s="30"/>
      <c r="G624" s="30"/>
      <c r="H624" s="30"/>
      <c r="I624" s="30"/>
      <c r="J624" s="30"/>
      <c r="K624" s="30"/>
      <c r="L624" s="31"/>
    </row>
    <row r="625" spans="1:12">
      <c r="A625" s="30"/>
      <c r="B625" s="30"/>
      <c r="C625" s="30"/>
      <c r="D625" s="30"/>
      <c r="E625" s="30"/>
      <c r="F625" s="30"/>
      <c r="G625" s="30"/>
      <c r="H625" s="30"/>
      <c r="I625" s="30"/>
      <c r="J625" s="30"/>
      <c r="K625" s="30"/>
      <c r="L625" s="31"/>
    </row>
    <row r="626" spans="1:12">
      <c r="A626" s="30"/>
      <c r="B626" s="30"/>
      <c r="C626" s="30"/>
      <c r="D626" s="30"/>
      <c r="E626" s="30"/>
      <c r="F626" s="30"/>
      <c r="G626" s="30"/>
      <c r="H626" s="30"/>
      <c r="I626" s="30"/>
      <c r="J626" s="30"/>
      <c r="K626" s="30"/>
      <c r="L626" s="31"/>
    </row>
    <row r="627" spans="1:12">
      <c r="A627" s="30"/>
      <c r="B627" s="30"/>
      <c r="C627" s="30"/>
      <c r="D627" s="30"/>
      <c r="E627" s="30"/>
      <c r="F627" s="30"/>
      <c r="G627" s="30"/>
      <c r="H627" s="30"/>
      <c r="I627" s="30"/>
      <c r="J627" s="30"/>
      <c r="K627" s="30"/>
      <c r="L627" s="31"/>
    </row>
    <row r="628" spans="1:12">
      <c r="A628" s="30"/>
      <c r="B628" s="30"/>
      <c r="C628" s="30"/>
      <c r="D628" s="30"/>
      <c r="E628" s="30"/>
      <c r="F628" s="30"/>
      <c r="G628" s="30"/>
      <c r="H628" s="30"/>
      <c r="I628" s="30"/>
      <c r="J628" s="30"/>
      <c r="K628" s="30"/>
      <c r="L628" s="31"/>
    </row>
    <row r="629" spans="1:12">
      <c r="A629" s="30"/>
      <c r="B629" s="30"/>
      <c r="C629" s="30"/>
      <c r="D629" s="30"/>
      <c r="E629" s="30"/>
      <c r="F629" s="30"/>
      <c r="G629" s="30"/>
      <c r="H629" s="30"/>
      <c r="I629" s="30"/>
      <c r="J629" s="30"/>
      <c r="K629" s="30"/>
      <c r="L629" s="31"/>
    </row>
    <row r="630" spans="1:12">
      <c r="A630" s="30"/>
      <c r="B630" s="30"/>
      <c r="C630" s="30"/>
      <c r="D630" s="30"/>
      <c r="E630" s="30"/>
      <c r="F630" s="30"/>
      <c r="G630" s="30"/>
      <c r="H630" s="30"/>
      <c r="I630" s="30"/>
      <c r="J630" s="30"/>
      <c r="K630" s="30"/>
      <c r="L630" s="31"/>
    </row>
    <row r="631" spans="1:12">
      <c r="A631" s="30"/>
      <c r="B631" s="30"/>
      <c r="C631" s="30"/>
      <c r="D631" s="30"/>
      <c r="E631" s="30"/>
      <c r="F631" s="30"/>
      <c r="G631" s="30"/>
      <c r="H631" s="30"/>
      <c r="I631" s="30"/>
      <c r="J631" s="30"/>
      <c r="K631" s="30"/>
      <c r="L631" s="31"/>
    </row>
    <row r="632" spans="1:12">
      <c r="A632" s="30"/>
      <c r="B632" s="30"/>
      <c r="C632" s="30"/>
      <c r="D632" s="30"/>
      <c r="E632" s="30"/>
      <c r="F632" s="30"/>
      <c r="G632" s="30"/>
      <c r="H632" s="30"/>
      <c r="I632" s="30"/>
      <c r="J632" s="30"/>
      <c r="K632" s="30"/>
      <c r="L632" s="31"/>
    </row>
    <row r="633" spans="1:12">
      <c r="A633" s="30"/>
      <c r="B633" s="30"/>
      <c r="C633" s="30"/>
      <c r="D633" s="30"/>
      <c r="E633" s="30"/>
      <c r="F633" s="30"/>
      <c r="G633" s="30"/>
      <c r="H633" s="30"/>
      <c r="I633" s="30"/>
      <c r="J633" s="30"/>
      <c r="K633" s="30"/>
      <c r="L633" s="31"/>
    </row>
    <row r="634" spans="1:12">
      <c r="A634" s="30"/>
      <c r="B634" s="30"/>
      <c r="C634" s="30"/>
      <c r="D634" s="30"/>
      <c r="E634" s="30"/>
      <c r="F634" s="30"/>
      <c r="G634" s="30"/>
      <c r="H634" s="30"/>
      <c r="I634" s="30"/>
      <c r="J634" s="30"/>
      <c r="K634" s="30"/>
      <c r="L634" s="31"/>
    </row>
    <row r="635" spans="1:12">
      <c r="A635" s="30"/>
      <c r="B635" s="30"/>
      <c r="C635" s="30"/>
      <c r="D635" s="30"/>
      <c r="E635" s="30"/>
      <c r="F635" s="30"/>
      <c r="G635" s="30"/>
      <c r="H635" s="30"/>
      <c r="I635" s="30"/>
      <c r="J635" s="30"/>
      <c r="K635" s="30"/>
      <c r="L635" s="31"/>
    </row>
    <row r="636" spans="1:12">
      <c r="A636" s="30"/>
      <c r="B636" s="30"/>
      <c r="C636" s="30"/>
      <c r="D636" s="30"/>
      <c r="E636" s="30"/>
      <c r="F636" s="30"/>
      <c r="G636" s="30"/>
      <c r="H636" s="30"/>
      <c r="I636" s="30"/>
      <c r="J636" s="30"/>
      <c r="K636" s="30"/>
      <c r="L636" s="31"/>
    </row>
    <row r="637" spans="1:12">
      <c r="A637" s="30"/>
      <c r="B637" s="30"/>
      <c r="C637" s="30"/>
      <c r="D637" s="30"/>
      <c r="E637" s="30"/>
      <c r="F637" s="30"/>
      <c r="G637" s="30"/>
      <c r="H637" s="30"/>
      <c r="I637" s="30"/>
      <c r="J637" s="30"/>
      <c r="K637" s="30"/>
      <c r="L637" s="31"/>
    </row>
    <row r="638" spans="1:12">
      <c r="A638" s="30"/>
      <c r="B638" s="30"/>
      <c r="C638" s="30"/>
      <c r="D638" s="30"/>
      <c r="E638" s="30"/>
      <c r="F638" s="30"/>
      <c r="G638" s="30"/>
      <c r="H638" s="30"/>
      <c r="I638" s="30"/>
      <c r="J638" s="30"/>
      <c r="K638" s="30"/>
      <c r="L638" s="31"/>
    </row>
    <row r="639" spans="1:12">
      <c r="A639" s="30"/>
      <c r="B639" s="30"/>
      <c r="C639" s="30"/>
      <c r="D639" s="30"/>
      <c r="E639" s="30"/>
      <c r="F639" s="30"/>
      <c r="G639" s="30"/>
      <c r="H639" s="30"/>
      <c r="I639" s="30"/>
      <c r="J639" s="30"/>
      <c r="K639" s="30"/>
      <c r="L639" s="31"/>
    </row>
    <row r="640" spans="1:12">
      <c r="A640" s="30"/>
      <c r="B640" s="30"/>
      <c r="C640" s="30"/>
      <c r="D640" s="30"/>
      <c r="E640" s="30"/>
      <c r="F640" s="30"/>
      <c r="G640" s="30"/>
      <c r="H640" s="30"/>
      <c r="I640" s="30"/>
      <c r="J640" s="30"/>
      <c r="K640" s="30"/>
      <c r="L640" s="31"/>
    </row>
    <row r="641" spans="1:12">
      <c r="A641" s="30"/>
      <c r="B641" s="30"/>
      <c r="C641" s="30"/>
      <c r="D641" s="30"/>
      <c r="E641" s="30"/>
      <c r="F641" s="30"/>
      <c r="G641" s="30"/>
      <c r="H641" s="30"/>
      <c r="I641" s="30"/>
      <c r="J641" s="30"/>
      <c r="K641" s="30"/>
      <c r="L641" s="31"/>
    </row>
    <row r="642" spans="1:12">
      <c r="A642" s="30"/>
      <c r="B642" s="30"/>
      <c r="C642" s="30"/>
      <c r="D642" s="30"/>
      <c r="E642" s="30"/>
      <c r="F642" s="30"/>
      <c r="G642" s="30"/>
      <c r="H642" s="30"/>
      <c r="I642" s="30"/>
      <c r="J642" s="30"/>
      <c r="K642" s="30"/>
      <c r="L642" s="31"/>
    </row>
    <row r="643" spans="1:12">
      <c r="A643" s="30"/>
      <c r="B643" s="30"/>
      <c r="C643" s="30"/>
      <c r="D643" s="30"/>
      <c r="E643" s="30"/>
      <c r="F643" s="30"/>
      <c r="G643" s="30"/>
      <c r="H643" s="30"/>
      <c r="I643" s="30"/>
      <c r="J643" s="30"/>
      <c r="K643" s="30"/>
      <c r="L643" s="31"/>
    </row>
    <row r="644" spans="1:12">
      <c r="A644" s="30"/>
      <c r="B644" s="30"/>
      <c r="C644" s="30"/>
      <c r="D644" s="30"/>
      <c r="E644" s="30"/>
      <c r="F644" s="30"/>
      <c r="G644" s="30"/>
      <c r="H644" s="30"/>
      <c r="I644" s="30"/>
      <c r="J644" s="30"/>
      <c r="K644" s="30"/>
      <c r="L644" s="31"/>
    </row>
    <row r="645" spans="1:12">
      <c r="A645" s="30"/>
      <c r="B645" s="30"/>
      <c r="C645" s="30"/>
      <c r="D645" s="30"/>
      <c r="E645" s="30"/>
      <c r="F645" s="30"/>
      <c r="G645" s="30"/>
      <c r="H645" s="30"/>
      <c r="I645" s="30"/>
      <c r="J645" s="30"/>
      <c r="K645" s="30"/>
      <c r="L645" s="31"/>
    </row>
    <row r="646" spans="1:12">
      <c r="A646" s="30"/>
      <c r="B646" s="30"/>
      <c r="C646" s="30"/>
      <c r="D646" s="30"/>
      <c r="E646" s="30"/>
      <c r="F646" s="30"/>
      <c r="G646" s="30"/>
      <c r="H646" s="30"/>
      <c r="I646" s="30"/>
      <c r="J646" s="30"/>
      <c r="K646" s="30"/>
      <c r="L646" s="31"/>
    </row>
    <row r="647" spans="1:12">
      <c r="A647" s="30"/>
      <c r="B647" s="30"/>
      <c r="C647" s="30"/>
      <c r="D647" s="30"/>
      <c r="E647" s="30"/>
      <c r="F647" s="30"/>
      <c r="G647" s="30"/>
      <c r="H647" s="30"/>
      <c r="I647" s="30"/>
      <c r="J647" s="30"/>
      <c r="K647" s="30"/>
      <c r="L647" s="31"/>
    </row>
    <row r="648" spans="1:12">
      <c r="A648" s="30"/>
      <c r="B648" s="30"/>
      <c r="C648" s="30"/>
      <c r="D648" s="30"/>
      <c r="E648" s="30"/>
      <c r="F648" s="30"/>
      <c r="G648" s="30"/>
      <c r="H648" s="30"/>
      <c r="I648" s="30"/>
      <c r="J648" s="30"/>
      <c r="K648" s="30"/>
      <c r="L648" s="31"/>
    </row>
    <row r="649" spans="1:12">
      <c r="A649" s="30"/>
      <c r="B649" s="30"/>
      <c r="C649" s="30"/>
      <c r="D649" s="30"/>
      <c r="E649" s="30"/>
      <c r="F649" s="30"/>
      <c r="G649" s="30"/>
      <c r="H649" s="30"/>
      <c r="I649" s="30"/>
      <c r="J649" s="30"/>
      <c r="K649" s="30"/>
      <c r="L649" s="31"/>
    </row>
    <row r="650" spans="1:12">
      <c r="A650" s="30"/>
      <c r="B650" s="30"/>
      <c r="C650" s="30"/>
      <c r="D650" s="30"/>
      <c r="E650" s="30"/>
      <c r="F650" s="30"/>
      <c r="G650" s="30"/>
      <c r="H650" s="30"/>
      <c r="I650" s="30"/>
      <c r="J650" s="30"/>
      <c r="K650" s="30"/>
      <c r="L650" s="31"/>
    </row>
    <row r="651" spans="1:12">
      <c r="A651" s="30"/>
      <c r="B651" s="30"/>
      <c r="C651" s="30"/>
      <c r="D651" s="30"/>
      <c r="E651" s="30"/>
      <c r="F651" s="30"/>
      <c r="G651" s="30"/>
      <c r="H651" s="30"/>
      <c r="I651" s="30"/>
      <c r="J651" s="30"/>
      <c r="K651" s="30"/>
      <c r="L651" s="31"/>
    </row>
    <row r="652" spans="1:12">
      <c r="A652" s="30"/>
      <c r="B652" s="30"/>
      <c r="C652" s="30"/>
      <c r="D652" s="30"/>
      <c r="E652" s="30"/>
      <c r="F652" s="30"/>
      <c r="G652" s="30"/>
      <c r="H652" s="30"/>
      <c r="I652" s="30"/>
      <c r="J652" s="30"/>
      <c r="K652" s="30"/>
      <c r="L652" s="31"/>
    </row>
    <row r="653" spans="1:12">
      <c r="A653" s="30"/>
      <c r="B653" s="30"/>
      <c r="C653" s="30"/>
      <c r="D653" s="30"/>
      <c r="E653" s="30"/>
      <c r="F653" s="30"/>
      <c r="G653" s="30"/>
      <c r="H653" s="30"/>
      <c r="I653" s="30"/>
      <c r="J653" s="30"/>
      <c r="K653" s="30"/>
      <c r="L653" s="31"/>
    </row>
    <row r="654" spans="1:12">
      <c r="A654" s="30"/>
      <c r="B654" s="30"/>
      <c r="C654" s="30"/>
      <c r="D654" s="30"/>
      <c r="E654" s="30"/>
      <c r="F654" s="30"/>
      <c r="G654" s="30"/>
      <c r="H654" s="30"/>
      <c r="I654" s="30"/>
      <c r="J654" s="30"/>
      <c r="K654" s="30"/>
      <c r="L654" s="31"/>
    </row>
    <row r="655" spans="1:12">
      <c r="A655" s="30"/>
      <c r="B655" s="30"/>
      <c r="C655" s="30"/>
      <c r="D655" s="30"/>
      <c r="E655" s="30"/>
      <c r="F655" s="30"/>
      <c r="G655" s="30"/>
      <c r="H655" s="30"/>
      <c r="I655" s="30"/>
      <c r="J655" s="30"/>
      <c r="K655" s="30"/>
      <c r="L655" s="31"/>
    </row>
    <row r="656" spans="1:12">
      <c r="A656" s="30"/>
      <c r="B656" s="30"/>
      <c r="C656" s="30"/>
      <c r="D656" s="30"/>
      <c r="E656" s="30"/>
      <c r="F656" s="30"/>
      <c r="G656" s="30"/>
      <c r="H656" s="30"/>
      <c r="I656" s="30"/>
      <c r="J656" s="30"/>
      <c r="K656" s="30"/>
      <c r="L656" s="31"/>
    </row>
    <row r="657" spans="1:12">
      <c r="A657" s="30"/>
      <c r="B657" s="30"/>
      <c r="C657" s="30"/>
      <c r="D657" s="30"/>
      <c r="E657" s="30"/>
      <c r="F657" s="30"/>
      <c r="G657" s="30"/>
      <c r="H657" s="30"/>
      <c r="I657" s="30"/>
      <c r="J657" s="30"/>
      <c r="K657" s="30"/>
      <c r="L657" s="31"/>
    </row>
    <row r="658" spans="1:12">
      <c r="A658" s="30"/>
      <c r="B658" s="30"/>
      <c r="C658" s="30"/>
      <c r="D658" s="30"/>
      <c r="E658" s="30"/>
      <c r="F658" s="30"/>
      <c r="G658" s="30"/>
      <c r="H658" s="30"/>
      <c r="I658" s="30"/>
      <c r="J658" s="30"/>
      <c r="K658" s="30"/>
      <c r="L658" s="31"/>
    </row>
    <row r="659" spans="1:12">
      <c r="A659" s="30"/>
      <c r="B659" s="30"/>
      <c r="C659" s="30"/>
      <c r="D659" s="30"/>
      <c r="E659" s="30"/>
      <c r="F659" s="30"/>
      <c r="G659" s="30"/>
      <c r="H659" s="30"/>
      <c r="I659" s="30"/>
      <c r="J659" s="30"/>
      <c r="K659" s="30"/>
      <c r="L659" s="31"/>
    </row>
    <row r="660" spans="1:12">
      <c r="A660" s="30"/>
      <c r="B660" s="30"/>
      <c r="C660" s="30"/>
      <c r="D660" s="30"/>
      <c r="E660" s="30"/>
      <c r="F660" s="30"/>
      <c r="G660" s="30"/>
      <c r="H660" s="30"/>
      <c r="I660" s="30"/>
      <c r="J660" s="30"/>
      <c r="K660" s="30"/>
      <c r="L660" s="31"/>
    </row>
    <row r="661" spans="1:12">
      <c r="A661" s="30"/>
      <c r="B661" s="30"/>
      <c r="C661" s="30"/>
      <c r="D661" s="30"/>
      <c r="E661" s="30"/>
      <c r="F661" s="30"/>
      <c r="G661" s="30"/>
      <c r="H661" s="30"/>
      <c r="I661" s="30"/>
      <c r="J661" s="30"/>
      <c r="K661" s="30"/>
      <c r="L661" s="31"/>
    </row>
    <row r="662" spans="1:12">
      <c r="A662" s="30"/>
      <c r="B662" s="30"/>
      <c r="C662" s="30"/>
      <c r="D662" s="30"/>
      <c r="E662" s="30"/>
      <c r="F662" s="30"/>
      <c r="G662" s="30"/>
      <c r="H662" s="30"/>
      <c r="I662" s="30"/>
      <c r="J662" s="30"/>
      <c r="K662" s="30"/>
      <c r="L662" s="31"/>
    </row>
    <row r="663" spans="1:12">
      <c r="A663" s="30"/>
      <c r="B663" s="30"/>
      <c r="C663" s="30"/>
      <c r="D663" s="30"/>
      <c r="E663" s="30"/>
      <c r="F663" s="30"/>
      <c r="G663" s="30"/>
      <c r="H663" s="30"/>
      <c r="I663" s="30"/>
      <c r="J663" s="30"/>
      <c r="K663" s="30"/>
      <c r="L663" s="31"/>
    </row>
    <row r="664" spans="1:12">
      <c r="A664" s="30"/>
      <c r="B664" s="30"/>
      <c r="C664" s="30"/>
      <c r="D664" s="30"/>
      <c r="E664" s="30"/>
      <c r="F664" s="30"/>
      <c r="G664" s="30"/>
      <c r="H664" s="30"/>
      <c r="I664" s="30"/>
      <c r="J664" s="30"/>
      <c r="K664" s="30"/>
      <c r="L664" s="31"/>
    </row>
    <row r="665" spans="1:12">
      <c r="A665" s="30"/>
      <c r="B665" s="30"/>
      <c r="C665" s="30"/>
      <c r="D665" s="30"/>
      <c r="E665" s="30"/>
      <c r="F665" s="30"/>
      <c r="G665" s="30"/>
      <c r="H665" s="30"/>
      <c r="I665" s="30"/>
      <c r="J665" s="30"/>
      <c r="K665" s="30"/>
      <c r="L665" s="31"/>
    </row>
    <row r="666" spans="1:12">
      <c r="A666" s="30"/>
      <c r="B666" s="30"/>
      <c r="C666" s="30"/>
      <c r="D666" s="30"/>
      <c r="E666" s="30"/>
      <c r="F666" s="30"/>
      <c r="G666" s="30"/>
      <c r="H666" s="30"/>
      <c r="I666" s="30"/>
      <c r="J666" s="30"/>
      <c r="K666" s="30"/>
      <c r="L666" s="31"/>
    </row>
    <row r="667" spans="1:12">
      <c r="A667" s="30"/>
      <c r="B667" s="30"/>
      <c r="C667" s="30"/>
      <c r="D667" s="30"/>
      <c r="E667" s="30"/>
      <c r="F667" s="30"/>
      <c r="G667" s="30"/>
      <c r="H667" s="30"/>
      <c r="I667" s="30"/>
      <c r="J667" s="30"/>
      <c r="K667" s="30"/>
      <c r="L667" s="31"/>
    </row>
    <row r="668" spans="1:12">
      <c r="A668" s="30"/>
      <c r="B668" s="30"/>
      <c r="C668" s="30"/>
      <c r="D668" s="30"/>
      <c r="E668" s="30"/>
      <c r="F668" s="30"/>
      <c r="G668" s="30"/>
      <c r="H668" s="30"/>
      <c r="I668" s="30"/>
      <c r="J668" s="30"/>
      <c r="K668" s="30"/>
      <c r="L668" s="31"/>
    </row>
    <row r="669" spans="1:12">
      <c r="A669" s="30"/>
      <c r="B669" s="30"/>
      <c r="C669" s="30"/>
      <c r="D669" s="30"/>
      <c r="E669" s="30"/>
      <c r="F669" s="30"/>
      <c r="G669" s="30"/>
      <c r="H669" s="30"/>
      <c r="I669" s="30"/>
      <c r="J669" s="30"/>
      <c r="K669" s="30"/>
      <c r="L669" s="31"/>
    </row>
    <row r="670" spans="1:12">
      <c r="A670" s="30"/>
      <c r="B670" s="30"/>
      <c r="C670" s="30"/>
      <c r="D670" s="30"/>
      <c r="E670" s="30"/>
      <c r="F670" s="30"/>
      <c r="G670" s="30"/>
      <c r="H670" s="30"/>
      <c r="I670" s="30"/>
      <c r="J670" s="30"/>
      <c r="K670" s="30"/>
      <c r="L670" s="31"/>
    </row>
    <row r="671" spans="1:12">
      <c r="A671" s="30"/>
      <c r="B671" s="30"/>
      <c r="C671" s="30"/>
      <c r="D671" s="30"/>
      <c r="E671" s="30"/>
      <c r="F671" s="30"/>
      <c r="G671" s="30"/>
      <c r="H671" s="30"/>
      <c r="I671" s="30"/>
      <c r="J671" s="30"/>
      <c r="K671" s="30"/>
      <c r="L671" s="31"/>
    </row>
    <row r="672" spans="1:12">
      <c r="A672" s="30"/>
      <c r="B672" s="30"/>
      <c r="C672" s="30"/>
      <c r="D672" s="30"/>
      <c r="E672" s="30"/>
      <c r="F672" s="30"/>
      <c r="G672" s="30"/>
      <c r="H672" s="30"/>
      <c r="I672" s="30"/>
      <c r="J672" s="30"/>
      <c r="K672" s="30"/>
      <c r="L672" s="31"/>
    </row>
    <row r="673" spans="1:12">
      <c r="A673" s="30"/>
      <c r="B673" s="30"/>
      <c r="C673" s="30"/>
      <c r="D673" s="30"/>
      <c r="E673" s="30"/>
      <c r="F673" s="30"/>
      <c r="G673" s="30"/>
      <c r="H673" s="30"/>
      <c r="I673" s="30"/>
      <c r="J673" s="30"/>
      <c r="K673" s="30"/>
      <c r="L673" s="31"/>
    </row>
    <row r="674" spans="1:12">
      <c r="A674" s="30"/>
      <c r="B674" s="30"/>
      <c r="C674" s="30"/>
      <c r="D674" s="30"/>
      <c r="E674" s="30"/>
      <c r="F674" s="30"/>
      <c r="G674" s="30"/>
      <c r="H674" s="30"/>
      <c r="I674" s="30"/>
      <c r="J674" s="30"/>
      <c r="K674" s="30"/>
      <c r="L674" s="31"/>
    </row>
    <row r="675" spans="1:12">
      <c r="A675" s="30"/>
      <c r="B675" s="30"/>
      <c r="C675" s="30"/>
      <c r="D675" s="30"/>
      <c r="E675" s="30"/>
      <c r="F675" s="30"/>
      <c r="G675" s="30"/>
      <c r="H675" s="30"/>
      <c r="I675" s="30"/>
      <c r="J675" s="30"/>
      <c r="K675" s="30"/>
      <c r="L675" s="31"/>
    </row>
    <row r="676" spans="1:12">
      <c r="A676" s="30"/>
      <c r="B676" s="30"/>
      <c r="C676" s="30"/>
      <c r="D676" s="30"/>
      <c r="E676" s="30"/>
      <c r="F676" s="30"/>
      <c r="G676" s="30"/>
      <c r="H676" s="30"/>
      <c r="I676" s="30"/>
      <c r="J676" s="30"/>
      <c r="K676" s="30"/>
      <c r="L676" s="31"/>
    </row>
    <row r="677" spans="1:12">
      <c r="A677" s="30"/>
      <c r="B677" s="30"/>
      <c r="C677" s="30"/>
      <c r="D677" s="30"/>
      <c r="E677" s="30"/>
      <c r="F677" s="30"/>
      <c r="G677" s="30"/>
      <c r="H677" s="30"/>
      <c r="I677" s="30"/>
      <c r="J677" s="30"/>
      <c r="K677" s="30"/>
      <c r="L677" s="31"/>
    </row>
    <row r="678" spans="1:12">
      <c r="A678" s="30"/>
      <c r="B678" s="30"/>
      <c r="C678" s="30"/>
      <c r="D678" s="30"/>
      <c r="E678" s="30"/>
      <c r="F678" s="30"/>
      <c r="G678" s="30"/>
      <c r="H678" s="30"/>
      <c r="I678" s="30"/>
      <c r="J678" s="30"/>
      <c r="K678" s="30"/>
      <c r="L678" s="31"/>
    </row>
    <row r="679" spans="1:12">
      <c r="A679" s="30"/>
      <c r="B679" s="30"/>
      <c r="C679" s="30"/>
      <c r="D679" s="30"/>
      <c r="E679" s="30"/>
      <c r="F679" s="30"/>
      <c r="G679" s="30"/>
      <c r="H679" s="30"/>
      <c r="I679" s="30"/>
      <c r="J679" s="30"/>
      <c r="K679" s="30"/>
      <c r="L679" s="31"/>
    </row>
    <row r="680" spans="1:12">
      <c r="A680" s="30"/>
      <c r="B680" s="30"/>
      <c r="C680" s="30"/>
      <c r="D680" s="30"/>
      <c r="E680" s="30"/>
      <c r="F680" s="30"/>
      <c r="G680" s="30"/>
      <c r="H680" s="30"/>
      <c r="I680" s="30"/>
      <c r="J680" s="30"/>
      <c r="K680" s="30"/>
      <c r="L680" s="31"/>
    </row>
    <row r="681" spans="1:12">
      <c r="A681" s="30"/>
      <c r="B681" s="30"/>
      <c r="C681" s="30"/>
      <c r="D681" s="30"/>
      <c r="E681" s="30"/>
      <c r="F681" s="30"/>
      <c r="G681" s="30"/>
      <c r="H681" s="30"/>
      <c r="I681" s="30"/>
      <c r="J681" s="30"/>
      <c r="K681" s="30"/>
      <c r="L681" s="31"/>
    </row>
    <row r="682" spans="1:12">
      <c r="A682" s="30"/>
      <c r="B682" s="30"/>
      <c r="C682" s="30"/>
      <c r="D682" s="30"/>
      <c r="E682" s="30"/>
      <c r="F682" s="30"/>
      <c r="G682" s="30"/>
      <c r="H682" s="30"/>
      <c r="I682" s="30"/>
      <c r="J682" s="30"/>
      <c r="K682" s="30"/>
      <c r="L682" s="31"/>
    </row>
    <row r="683" spans="1:12">
      <c r="A683" s="30"/>
      <c r="B683" s="30"/>
      <c r="C683" s="30"/>
      <c r="D683" s="30"/>
      <c r="E683" s="30"/>
      <c r="F683" s="30"/>
      <c r="G683" s="30"/>
      <c r="H683" s="30"/>
      <c r="I683" s="30"/>
      <c r="J683" s="30"/>
      <c r="K683" s="30"/>
      <c r="L683" s="31"/>
    </row>
    <row r="684" spans="1:12">
      <c r="A684" s="30"/>
      <c r="B684" s="30"/>
      <c r="C684" s="30"/>
      <c r="D684" s="30"/>
      <c r="E684" s="30"/>
      <c r="F684" s="30"/>
      <c r="G684" s="30"/>
      <c r="H684" s="30"/>
      <c r="I684" s="30"/>
      <c r="J684" s="30"/>
      <c r="K684" s="30"/>
      <c r="L684" s="31"/>
    </row>
    <row r="685" spans="1:12">
      <c r="A685" s="30"/>
      <c r="B685" s="30"/>
      <c r="C685" s="30"/>
      <c r="D685" s="30"/>
      <c r="E685" s="30"/>
      <c r="F685" s="30"/>
      <c r="G685" s="30"/>
      <c r="H685" s="30"/>
      <c r="I685" s="30"/>
      <c r="J685" s="30"/>
      <c r="K685" s="30"/>
      <c r="L685" s="31"/>
    </row>
    <row r="686" spans="1:12">
      <c r="A686" s="30"/>
      <c r="B686" s="30"/>
      <c r="C686" s="30"/>
      <c r="D686" s="30"/>
      <c r="E686" s="30"/>
      <c r="F686" s="30"/>
      <c r="G686" s="30"/>
      <c r="H686" s="30"/>
      <c r="I686" s="30"/>
      <c r="J686" s="30"/>
      <c r="K686" s="30"/>
      <c r="L686" s="31"/>
    </row>
    <row r="687" spans="1:12">
      <c r="A687" s="30"/>
      <c r="B687" s="30"/>
      <c r="C687" s="30"/>
      <c r="D687" s="30"/>
      <c r="E687" s="30"/>
      <c r="F687" s="30"/>
      <c r="G687" s="30"/>
      <c r="H687" s="30"/>
      <c r="I687" s="30"/>
      <c r="J687" s="30"/>
      <c r="K687" s="30"/>
      <c r="L687" s="31"/>
    </row>
    <row r="688" spans="1:12">
      <c r="A688" s="30"/>
      <c r="B688" s="30"/>
      <c r="C688" s="30"/>
      <c r="D688" s="30"/>
      <c r="E688" s="30"/>
      <c r="F688" s="30"/>
      <c r="G688" s="30"/>
      <c r="H688" s="30"/>
      <c r="I688" s="30"/>
      <c r="J688" s="30"/>
      <c r="K688" s="30"/>
      <c r="L688" s="31"/>
    </row>
    <row r="689" spans="1:12">
      <c r="A689" s="30"/>
      <c r="B689" s="30"/>
      <c r="C689" s="30"/>
      <c r="D689" s="30"/>
      <c r="E689" s="30"/>
      <c r="F689" s="30"/>
      <c r="G689" s="30"/>
      <c r="H689" s="30"/>
      <c r="I689" s="30"/>
      <c r="J689" s="30"/>
      <c r="K689" s="30"/>
      <c r="L689" s="31"/>
    </row>
    <row r="690" spans="1:12">
      <c r="A690" s="30"/>
      <c r="B690" s="30"/>
      <c r="C690" s="30"/>
      <c r="D690" s="30"/>
      <c r="E690" s="30"/>
      <c r="F690" s="30"/>
      <c r="G690" s="30"/>
      <c r="H690" s="30"/>
      <c r="I690" s="30"/>
      <c r="J690" s="30"/>
      <c r="K690" s="30"/>
      <c r="L690" s="31"/>
    </row>
    <row r="691" spans="1:12">
      <c r="A691" s="30"/>
      <c r="B691" s="30"/>
      <c r="C691" s="30"/>
      <c r="D691" s="30"/>
      <c r="E691" s="30"/>
      <c r="F691" s="30"/>
      <c r="G691" s="30"/>
      <c r="H691" s="30"/>
      <c r="I691" s="30"/>
      <c r="J691" s="30"/>
      <c r="K691" s="30"/>
      <c r="L691" s="31"/>
    </row>
    <row r="692" spans="1:12">
      <c r="A692" s="30"/>
      <c r="B692" s="30"/>
      <c r="C692" s="30"/>
      <c r="D692" s="30"/>
      <c r="E692" s="30"/>
      <c r="F692" s="30"/>
      <c r="G692" s="30"/>
      <c r="H692" s="30"/>
      <c r="I692" s="30"/>
      <c r="J692" s="30"/>
      <c r="K692" s="30"/>
      <c r="L692" s="31"/>
    </row>
    <row r="693" spans="1:12">
      <c r="A693" s="30"/>
      <c r="B693" s="30"/>
      <c r="C693" s="30"/>
      <c r="D693" s="30"/>
      <c r="E693" s="30"/>
      <c r="F693" s="30"/>
      <c r="G693" s="30"/>
      <c r="H693" s="30"/>
      <c r="I693" s="30"/>
      <c r="J693" s="30"/>
      <c r="K693" s="30"/>
      <c r="L693" s="31"/>
    </row>
    <row r="694" spans="1:12">
      <c r="A694" s="30"/>
      <c r="B694" s="30"/>
      <c r="C694" s="30"/>
      <c r="D694" s="30"/>
      <c r="E694" s="30"/>
      <c r="F694" s="30"/>
      <c r="G694" s="30"/>
      <c r="H694" s="30"/>
      <c r="I694" s="30"/>
      <c r="J694" s="30"/>
      <c r="K694" s="30"/>
      <c r="L694" s="31"/>
    </row>
    <row r="695" spans="1:12">
      <c r="A695" s="30"/>
      <c r="B695" s="30"/>
      <c r="C695" s="30"/>
      <c r="D695" s="30"/>
      <c r="E695" s="30"/>
      <c r="F695" s="30"/>
      <c r="G695" s="30"/>
      <c r="H695" s="30"/>
      <c r="I695" s="30"/>
      <c r="J695" s="30"/>
      <c r="K695" s="30"/>
      <c r="L695" s="31"/>
    </row>
    <row r="696" spans="1:12">
      <c r="A696" s="30"/>
      <c r="B696" s="30"/>
      <c r="C696" s="30"/>
      <c r="D696" s="30"/>
      <c r="E696" s="30"/>
      <c r="F696" s="30"/>
      <c r="G696" s="30"/>
      <c r="H696" s="30"/>
      <c r="I696" s="30"/>
      <c r="J696" s="30"/>
      <c r="K696" s="30"/>
      <c r="L696" s="31"/>
    </row>
    <row r="697" spans="1:12">
      <c r="A697" s="30"/>
      <c r="B697" s="30"/>
      <c r="C697" s="30"/>
      <c r="D697" s="30"/>
      <c r="E697" s="30"/>
      <c r="F697" s="30"/>
      <c r="G697" s="30"/>
      <c r="H697" s="30"/>
      <c r="I697" s="30"/>
      <c r="J697" s="30"/>
      <c r="K697" s="30"/>
      <c r="L697" s="31"/>
    </row>
    <row r="698" spans="1:12">
      <c r="A698" s="30"/>
      <c r="B698" s="30"/>
      <c r="C698" s="30"/>
      <c r="D698" s="30"/>
      <c r="E698" s="30"/>
      <c r="F698" s="30"/>
      <c r="G698" s="30"/>
      <c r="H698" s="30"/>
      <c r="I698" s="30"/>
      <c r="J698" s="30"/>
      <c r="K698" s="30"/>
      <c r="L698" s="31"/>
    </row>
    <row r="699" spans="1:12">
      <c r="A699" s="30"/>
      <c r="B699" s="30"/>
      <c r="C699" s="30"/>
      <c r="D699" s="30"/>
      <c r="E699" s="30"/>
      <c r="F699" s="30"/>
      <c r="G699" s="30"/>
      <c r="H699" s="30"/>
      <c r="I699" s="30"/>
      <c r="J699" s="30"/>
      <c r="K699" s="30"/>
      <c r="L699" s="31"/>
    </row>
    <row r="700" spans="1:12">
      <c r="A700" s="30"/>
      <c r="B700" s="30"/>
      <c r="C700" s="30"/>
      <c r="D700" s="30"/>
      <c r="E700" s="30"/>
      <c r="F700" s="30"/>
      <c r="G700" s="30"/>
      <c r="H700" s="30"/>
      <c r="I700" s="30"/>
      <c r="J700" s="30"/>
      <c r="K700" s="30"/>
      <c r="L700" s="31"/>
    </row>
    <row r="701" spans="1:12">
      <c r="A701" s="30"/>
      <c r="B701" s="30"/>
      <c r="C701" s="30"/>
      <c r="D701" s="30"/>
      <c r="E701" s="30"/>
      <c r="F701" s="30"/>
      <c r="G701" s="30"/>
      <c r="H701" s="30"/>
      <c r="I701" s="30"/>
      <c r="J701" s="30"/>
      <c r="K701" s="30"/>
      <c r="L701" s="31"/>
    </row>
    <row r="702" spans="1:12">
      <c r="A702" s="30"/>
      <c r="B702" s="30"/>
      <c r="C702" s="30"/>
      <c r="D702" s="30"/>
      <c r="E702" s="30"/>
      <c r="F702" s="30"/>
      <c r="G702" s="30"/>
      <c r="H702" s="30"/>
      <c r="I702" s="30"/>
      <c r="J702" s="30"/>
      <c r="K702" s="30"/>
      <c r="L702" s="31"/>
    </row>
    <row r="703" spans="1:12">
      <c r="A703" s="30"/>
      <c r="B703" s="30"/>
      <c r="C703" s="30"/>
      <c r="D703" s="30"/>
      <c r="E703" s="30"/>
      <c r="F703" s="30"/>
      <c r="G703" s="30"/>
      <c r="H703" s="30"/>
      <c r="I703" s="30"/>
      <c r="J703" s="30"/>
      <c r="K703" s="30"/>
      <c r="L703" s="31"/>
    </row>
    <row r="704" spans="1:12">
      <c r="A704" s="30"/>
      <c r="B704" s="30"/>
      <c r="C704" s="30"/>
      <c r="D704" s="30"/>
      <c r="E704" s="30"/>
      <c r="F704" s="30"/>
      <c r="G704" s="30"/>
      <c r="H704" s="30"/>
      <c r="I704" s="30"/>
      <c r="J704" s="30"/>
      <c r="K704" s="30"/>
      <c r="L704" s="31"/>
    </row>
    <row r="705" spans="1:12">
      <c r="A705" s="30"/>
      <c r="B705" s="30"/>
      <c r="C705" s="30"/>
      <c r="D705" s="30"/>
      <c r="E705" s="30"/>
      <c r="F705" s="30"/>
      <c r="G705" s="30"/>
      <c r="H705" s="30"/>
      <c r="I705" s="30"/>
      <c r="J705" s="30"/>
      <c r="K705" s="30"/>
      <c r="L705" s="31"/>
    </row>
    <row r="706" spans="1:12">
      <c r="A706" s="30"/>
      <c r="B706" s="30"/>
      <c r="C706" s="30"/>
      <c r="D706" s="30"/>
      <c r="E706" s="30"/>
      <c r="F706" s="30"/>
      <c r="G706" s="30"/>
      <c r="H706" s="30"/>
      <c r="I706" s="30"/>
      <c r="J706" s="30"/>
      <c r="K706" s="30"/>
      <c r="L706" s="31"/>
    </row>
    <row r="707" spans="1:12">
      <c r="A707" s="30"/>
      <c r="B707" s="30"/>
      <c r="C707" s="30"/>
      <c r="D707" s="30"/>
      <c r="E707" s="30"/>
      <c r="F707" s="30"/>
      <c r="G707" s="30"/>
      <c r="H707" s="30"/>
      <c r="I707" s="30"/>
      <c r="J707" s="30"/>
      <c r="K707" s="30"/>
      <c r="L707" s="31"/>
    </row>
    <row r="708" spans="1:12">
      <c r="A708" s="30"/>
      <c r="B708" s="30"/>
      <c r="C708" s="30"/>
      <c r="D708" s="30"/>
      <c r="E708" s="30"/>
      <c r="F708" s="30"/>
      <c r="G708" s="30"/>
      <c r="H708" s="30"/>
      <c r="I708" s="30"/>
      <c r="J708" s="30"/>
      <c r="K708" s="30"/>
      <c r="L708" s="31"/>
    </row>
    <row r="709" spans="1:12">
      <c r="A709" s="30"/>
      <c r="B709" s="30"/>
      <c r="C709" s="30"/>
      <c r="D709" s="30"/>
      <c r="E709" s="30"/>
      <c r="F709" s="30"/>
      <c r="G709" s="30"/>
      <c r="H709" s="30"/>
      <c r="I709" s="30"/>
      <c r="J709" s="30"/>
      <c r="K709" s="30"/>
      <c r="L709" s="31"/>
    </row>
    <row r="710" spans="1:12">
      <c r="A710" s="30"/>
      <c r="B710" s="30"/>
      <c r="C710" s="30"/>
      <c r="D710" s="30"/>
      <c r="E710" s="30"/>
      <c r="F710" s="30"/>
      <c r="G710" s="30"/>
      <c r="H710" s="30"/>
      <c r="I710" s="30"/>
      <c r="J710" s="30"/>
      <c r="K710" s="30"/>
      <c r="L710" s="31"/>
    </row>
    <row r="711" spans="1:12">
      <c r="A711" s="30"/>
      <c r="B711" s="30"/>
      <c r="C711" s="30"/>
      <c r="D711" s="30"/>
      <c r="E711" s="30"/>
      <c r="F711" s="30"/>
      <c r="G711" s="30"/>
      <c r="H711" s="30"/>
      <c r="I711" s="30"/>
      <c r="J711" s="30"/>
      <c r="K711" s="30"/>
      <c r="L711" s="31"/>
    </row>
    <row r="712" spans="1:12">
      <c r="A712" s="30"/>
      <c r="B712" s="30"/>
      <c r="C712" s="30"/>
      <c r="D712" s="30"/>
      <c r="E712" s="30"/>
      <c r="F712" s="30"/>
      <c r="G712" s="30"/>
      <c r="H712" s="30"/>
      <c r="I712" s="30"/>
      <c r="J712" s="30"/>
      <c r="K712" s="30"/>
      <c r="L712" s="31"/>
    </row>
    <row r="713" spans="1:12">
      <c r="A713" s="30"/>
      <c r="B713" s="30"/>
      <c r="C713" s="30"/>
      <c r="D713" s="30"/>
      <c r="E713" s="30"/>
      <c r="F713" s="30"/>
      <c r="G713" s="30"/>
      <c r="H713" s="30"/>
      <c r="I713" s="30"/>
      <c r="J713" s="30"/>
      <c r="K713" s="30"/>
      <c r="L713" s="31"/>
    </row>
    <row r="714" spans="1:12">
      <c r="A714" s="30"/>
      <c r="B714" s="30"/>
      <c r="C714" s="30"/>
      <c r="D714" s="30"/>
      <c r="E714" s="30"/>
      <c r="F714" s="30"/>
      <c r="G714" s="30"/>
      <c r="H714" s="30"/>
      <c r="I714" s="30"/>
      <c r="J714" s="30"/>
      <c r="K714" s="30"/>
      <c r="L714" s="31"/>
    </row>
    <row r="715" spans="1:12">
      <c r="A715" s="30"/>
      <c r="B715" s="30"/>
      <c r="C715" s="30"/>
      <c r="D715" s="30"/>
      <c r="E715" s="30"/>
      <c r="F715" s="30"/>
      <c r="G715" s="30"/>
      <c r="H715" s="30"/>
      <c r="I715" s="30"/>
      <c r="J715" s="30"/>
      <c r="K715" s="30"/>
      <c r="L715" s="31"/>
    </row>
    <row r="716" spans="1:12">
      <c r="A716" s="30"/>
      <c r="B716" s="30"/>
      <c r="C716" s="30"/>
      <c r="D716" s="30"/>
      <c r="E716" s="30"/>
      <c r="F716" s="30"/>
      <c r="G716" s="30"/>
      <c r="H716" s="30"/>
      <c r="I716" s="30"/>
      <c r="J716" s="30"/>
      <c r="K716" s="30"/>
      <c r="L716" s="31"/>
    </row>
    <row r="717" spans="1:12">
      <c r="A717" s="30"/>
      <c r="B717" s="30"/>
      <c r="C717" s="30"/>
      <c r="D717" s="30"/>
      <c r="E717" s="30"/>
      <c r="F717" s="30"/>
      <c r="G717" s="30"/>
      <c r="H717" s="30"/>
      <c r="I717" s="30"/>
      <c r="J717" s="30"/>
      <c r="K717" s="30"/>
      <c r="L717" s="31"/>
    </row>
    <row r="718" spans="1:12">
      <c r="A718" s="30"/>
      <c r="B718" s="30"/>
      <c r="C718" s="30"/>
      <c r="D718" s="30"/>
      <c r="E718" s="30"/>
      <c r="F718" s="30"/>
      <c r="G718" s="30"/>
      <c r="H718" s="30"/>
      <c r="I718" s="30"/>
      <c r="J718" s="30"/>
      <c r="K718" s="30"/>
      <c r="L718" s="31"/>
    </row>
    <row r="719" spans="1:12">
      <c r="A719" s="30"/>
      <c r="B719" s="30"/>
      <c r="C719" s="30"/>
      <c r="D719" s="30"/>
      <c r="E719" s="30"/>
      <c r="F719" s="30"/>
      <c r="G719" s="30"/>
      <c r="H719" s="30"/>
      <c r="I719" s="30"/>
      <c r="J719" s="30"/>
      <c r="K719" s="30"/>
      <c r="L719" s="31"/>
    </row>
    <row r="720" spans="1:12">
      <c r="A720" s="30"/>
      <c r="B720" s="30"/>
      <c r="C720" s="30"/>
      <c r="D720" s="30"/>
      <c r="E720" s="30"/>
      <c r="F720" s="30"/>
      <c r="G720" s="30"/>
      <c r="H720" s="30"/>
      <c r="I720" s="30"/>
      <c r="J720" s="30"/>
      <c r="K720" s="30"/>
      <c r="L720" s="31"/>
    </row>
    <row r="721" spans="1:12">
      <c r="A721" s="30"/>
      <c r="B721" s="30"/>
      <c r="C721" s="30"/>
      <c r="D721" s="30"/>
      <c r="E721" s="30"/>
      <c r="F721" s="30"/>
      <c r="G721" s="30"/>
      <c r="H721" s="30"/>
      <c r="I721" s="30"/>
      <c r="J721" s="30"/>
      <c r="K721" s="30"/>
      <c r="L721" s="31"/>
    </row>
    <row r="722" spans="1:12">
      <c r="A722" s="30"/>
      <c r="B722" s="30"/>
      <c r="C722" s="30"/>
      <c r="D722" s="30"/>
      <c r="E722" s="30"/>
      <c r="F722" s="30"/>
      <c r="G722" s="30"/>
      <c r="H722" s="30"/>
      <c r="I722" s="30"/>
      <c r="J722" s="30"/>
      <c r="K722" s="30"/>
      <c r="L722" s="31"/>
    </row>
    <row r="723" spans="1:12">
      <c r="A723" s="30"/>
      <c r="B723" s="30"/>
      <c r="C723" s="30"/>
      <c r="D723" s="30"/>
      <c r="E723" s="30"/>
      <c r="F723" s="30"/>
      <c r="G723" s="30"/>
      <c r="H723" s="30"/>
      <c r="I723" s="30"/>
      <c r="J723" s="30"/>
      <c r="K723" s="30"/>
      <c r="L723" s="31"/>
    </row>
    <row r="724" spans="1:12">
      <c r="A724" s="30"/>
      <c r="B724" s="30"/>
      <c r="C724" s="30"/>
      <c r="D724" s="30"/>
      <c r="E724" s="30"/>
      <c r="F724" s="30"/>
      <c r="G724" s="30"/>
      <c r="H724" s="30"/>
      <c r="I724" s="30"/>
      <c r="J724" s="30"/>
      <c r="K724" s="30"/>
      <c r="L724" s="31"/>
    </row>
    <row r="725" spans="1:12">
      <c r="A725" s="30"/>
      <c r="B725" s="30"/>
      <c r="C725" s="30"/>
      <c r="D725" s="30"/>
      <c r="E725" s="30"/>
      <c r="F725" s="30"/>
      <c r="G725" s="30"/>
      <c r="H725" s="30"/>
      <c r="I725" s="30"/>
      <c r="J725" s="30"/>
      <c r="K725" s="30"/>
      <c r="L725" s="31"/>
    </row>
    <row r="726" spans="1:12">
      <c r="A726" s="30"/>
      <c r="B726" s="30"/>
      <c r="C726" s="30"/>
      <c r="D726" s="30"/>
      <c r="E726" s="30"/>
      <c r="F726" s="30"/>
      <c r="G726" s="30"/>
      <c r="H726" s="30"/>
      <c r="I726" s="30"/>
      <c r="J726" s="30"/>
      <c r="K726" s="30"/>
      <c r="L726" s="31"/>
    </row>
    <row r="727" spans="1:12">
      <c r="A727" s="30"/>
      <c r="B727" s="30"/>
      <c r="C727" s="30"/>
      <c r="D727" s="30"/>
      <c r="E727" s="30"/>
      <c r="F727" s="30"/>
      <c r="G727" s="30"/>
      <c r="H727" s="30"/>
      <c r="I727" s="30"/>
      <c r="J727" s="30"/>
      <c r="K727" s="30"/>
      <c r="L727" s="31"/>
    </row>
    <row r="728" spans="1:12">
      <c r="A728" s="30"/>
      <c r="B728" s="30"/>
      <c r="C728" s="30"/>
      <c r="D728" s="30"/>
      <c r="E728" s="30"/>
      <c r="F728" s="30"/>
      <c r="G728" s="30"/>
      <c r="H728" s="30"/>
      <c r="I728" s="30"/>
      <c r="J728" s="30"/>
      <c r="K728" s="30"/>
      <c r="L728" s="31"/>
    </row>
    <row r="729" spans="1:12">
      <c r="A729" s="30"/>
      <c r="B729" s="30"/>
      <c r="C729" s="30"/>
      <c r="D729" s="30"/>
      <c r="E729" s="30"/>
      <c r="F729" s="30"/>
      <c r="G729" s="30"/>
      <c r="H729" s="30"/>
      <c r="I729" s="30"/>
      <c r="J729" s="30"/>
      <c r="K729" s="30"/>
      <c r="L729" s="31"/>
    </row>
    <row r="730" spans="1:12">
      <c r="A730" s="30"/>
      <c r="B730" s="30"/>
      <c r="C730" s="30"/>
      <c r="D730" s="30"/>
      <c r="E730" s="30"/>
      <c r="F730" s="30"/>
      <c r="G730" s="30"/>
      <c r="H730" s="30"/>
      <c r="I730" s="30"/>
      <c r="J730" s="30"/>
      <c r="K730" s="30"/>
      <c r="L730" s="31"/>
    </row>
    <row r="731" spans="1:12">
      <c r="A731" s="30"/>
      <c r="B731" s="30"/>
      <c r="C731" s="30"/>
      <c r="D731" s="30"/>
      <c r="E731" s="30"/>
      <c r="F731" s="30"/>
      <c r="G731" s="30"/>
      <c r="H731" s="30"/>
      <c r="I731" s="30"/>
      <c r="J731" s="30"/>
      <c r="K731" s="30"/>
      <c r="L731" s="31"/>
    </row>
    <row r="732" spans="1:12">
      <c r="A732" s="30"/>
      <c r="B732" s="30"/>
      <c r="C732" s="30"/>
      <c r="D732" s="30"/>
      <c r="E732" s="30"/>
      <c r="F732" s="30"/>
      <c r="G732" s="30"/>
      <c r="H732" s="30"/>
      <c r="I732" s="30"/>
      <c r="J732" s="30"/>
      <c r="K732" s="30"/>
      <c r="L732" s="31"/>
    </row>
    <row r="733" spans="1:12">
      <c r="A733" s="30"/>
      <c r="B733" s="30"/>
      <c r="C733" s="30"/>
      <c r="D733" s="30"/>
      <c r="E733" s="30"/>
      <c r="F733" s="30"/>
      <c r="G733" s="30"/>
      <c r="H733" s="30"/>
      <c r="I733" s="30"/>
      <c r="J733" s="30"/>
      <c r="K733" s="30"/>
      <c r="L733" s="31"/>
    </row>
    <row r="734" spans="1:12">
      <c r="A734" s="30"/>
      <c r="B734" s="30"/>
      <c r="C734" s="30"/>
      <c r="D734" s="30"/>
      <c r="E734" s="30"/>
      <c r="F734" s="30"/>
      <c r="G734" s="30"/>
      <c r="H734" s="30"/>
      <c r="I734" s="30"/>
      <c r="J734" s="30"/>
      <c r="K734" s="30"/>
      <c r="L734" s="31"/>
    </row>
    <row r="735" spans="1:12">
      <c r="A735" s="30"/>
      <c r="B735" s="30"/>
      <c r="C735" s="30"/>
      <c r="D735" s="30"/>
      <c r="E735" s="30"/>
      <c r="F735" s="30"/>
      <c r="G735" s="30"/>
      <c r="H735" s="30"/>
      <c r="I735" s="30"/>
      <c r="J735" s="30"/>
      <c r="K735" s="30"/>
      <c r="L735" s="31"/>
    </row>
    <row r="736" spans="1:12">
      <c r="A736" s="30"/>
      <c r="B736" s="30"/>
      <c r="C736" s="30"/>
      <c r="D736" s="30"/>
      <c r="E736" s="30"/>
      <c r="F736" s="30"/>
      <c r="G736" s="30"/>
      <c r="H736" s="30"/>
      <c r="I736" s="30"/>
      <c r="J736" s="30"/>
      <c r="K736" s="30"/>
      <c r="L736" s="31"/>
    </row>
    <row r="737" spans="1:12">
      <c r="A737" s="30"/>
      <c r="B737" s="30"/>
      <c r="C737" s="30"/>
      <c r="D737" s="30"/>
      <c r="E737" s="30"/>
      <c r="F737" s="30"/>
      <c r="G737" s="30"/>
      <c r="H737" s="30"/>
      <c r="I737" s="30"/>
      <c r="J737" s="30"/>
      <c r="K737" s="30"/>
      <c r="L737" s="31"/>
    </row>
    <row r="738" spans="1:12">
      <c r="A738" s="30"/>
      <c r="B738" s="30"/>
      <c r="C738" s="30"/>
      <c r="D738" s="30"/>
      <c r="E738" s="30"/>
      <c r="F738" s="30"/>
      <c r="G738" s="30"/>
      <c r="H738" s="30"/>
      <c r="I738" s="30"/>
      <c r="J738" s="30"/>
      <c r="K738" s="30"/>
      <c r="L738" s="31"/>
    </row>
    <row r="739" spans="1:12">
      <c r="A739" s="30"/>
      <c r="B739" s="30"/>
      <c r="C739" s="30"/>
      <c r="D739" s="30"/>
      <c r="E739" s="30"/>
      <c r="F739" s="30"/>
      <c r="G739" s="30"/>
      <c r="H739" s="30"/>
      <c r="I739" s="30"/>
      <c r="J739" s="30"/>
      <c r="K739" s="30"/>
      <c r="L739" s="31"/>
    </row>
    <row r="740" spans="1:12">
      <c r="A740" s="30"/>
      <c r="B740" s="30"/>
      <c r="C740" s="30"/>
      <c r="D740" s="30"/>
      <c r="E740" s="30"/>
      <c r="F740" s="30"/>
      <c r="G740" s="30"/>
      <c r="H740" s="30"/>
      <c r="I740" s="30"/>
      <c r="J740" s="30"/>
      <c r="K740" s="30"/>
      <c r="L740" s="31"/>
    </row>
    <row r="741" spans="1:12">
      <c r="A741" s="30"/>
      <c r="B741" s="30"/>
      <c r="C741" s="30"/>
      <c r="D741" s="30"/>
      <c r="E741" s="30"/>
      <c r="F741" s="30"/>
      <c r="G741" s="30"/>
      <c r="H741" s="30"/>
      <c r="I741" s="30"/>
      <c r="J741" s="30"/>
      <c r="K741" s="30"/>
      <c r="L741" s="31"/>
    </row>
    <row r="742" spans="1:12">
      <c r="A742" s="30"/>
      <c r="B742" s="30"/>
      <c r="C742" s="30"/>
      <c r="D742" s="30"/>
      <c r="E742" s="30"/>
      <c r="F742" s="30"/>
      <c r="G742" s="30"/>
      <c r="H742" s="30"/>
      <c r="I742" s="30"/>
      <c r="J742" s="30"/>
      <c r="K742" s="30"/>
      <c r="L742" s="31"/>
    </row>
    <row r="743" spans="1:12">
      <c r="A743" s="30"/>
      <c r="B743" s="30"/>
      <c r="C743" s="30"/>
      <c r="D743" s="30"/>
      <c r="E743" s="30"/>
      <c r="F743" s="30"/>
      <c r="G743" s="30"/>
      <c r="H743" s="30"/>
      <c r="I743" s="30"/>
      <c r="J743" s="30"/>
      <c r="K743" s="30"/>
      <c r="L743" s="31"/>
    </row>
    <row r="744" spans="1:12">
      <c r="A744" s="30"/>
      <c r="B744" s="30"/>
      <c r="C744" s="30"/>
      <c r="D744" s="30"/>
      <c r="E744" s="30"/>
      <c r="F744" s="30"/>
      <c r="G744" s="30"/>
      <c r="H744" s="30"/>
      <c r="I744" s="30"/>
      <c r="J744" s="30"/>
      <c r="K744" s="30"/>
      <c r="L744" s="31"/>
    </row>
    <row r="745" spans="1:12">
      <c r="A745" s="30"/>
      <c r="B745" s="30"/>
      <c r="C745" s="30"/>
      <c r="D745" s="30"/>
      <c r="E745" s="30"/>
      <c r="F745" s="30"/>
      <c r="G745" s="30"/>
      <c r="H745" s="30"/>
      <c r="I745" s="30"/>
      <c r="J745" s="30"/>
      <c r="K745" s="30"/>
      <c r="L745" s="31"/>
    </row>
    <row r="746" spans="1:12">
      <c r="A746" s="30"/>
      <c r="B746" s="30"/>
      <c r="C746" s="30"/>
      <c r="D746" s="30"/>
      <c r="E746" s="30"/>
      <c r="F746" s="30"/>
      <c r="G746" s="30"/>
      <c r="H746" s="30"/>
      <c r="I746" s="30"/>
      <c r="J746" s="30"/>
      <c r="K746" s="30"/>
      <c r="L746" s="31"/>
    </row>
    <row r="747" spans="1:12">
      <c r="A747" s="30"/>
      <c r="B747" s="30"/>
      <c r="C747" s="30"/>
      <c r="D747" s="30"/>
      <c r="E747" s="30"/>
      <c r="F747" s="30"/>
      <c r="G747" s="30"/>
      <c r="H747" s="30"/>
      <c r="I747" s="30"/>
      <c r="J747" s="30"/>
      <c r="K747" s="30"/>
      <c r="L747" s="31"/>
    </row>
    <row r="748" spans="1:12">
      <c r="A748" s="30"/>
      <c r="B748" s="30"/>
      <c r="C748" s="30"/>
      <c r="D748" s="30"/>
      <c r="E748" s="30"/>
      <c r="F748" s="30"/>
      <c r="G748" s="30"/>
      <c r="H748" s="30"/>
      <c r="I748" s="30"/>
      <c r="J748" s="30"/>
      <c r="K748" s="30"/>
      <c r="L748" s="31"/>
    </row>
    <row r="749" spans="1:12">
      <c r="A749" s="30"/>
      <c r="B749" s="30"/>
      <c r="C749" s="30"/>
      <c r="D749" s="30"/>
      <c r="E749" s="30"/>
      <c r="F749" s="30"/>
      <c r="G749" s="30"/>
      <c r="H749" s="30"/>
      <c r="I749" s="30"/>
      <c r="J749" s="30"/>
      <c r="K749" s="30"/>
      <c r="L749" s="31"/>
    </row>
    <row r="750" spans="1:12">
      <c r="A750" s="30"/>
      <c r="B750" s="30"/>
      <c r="C750" s="30"/>
      <c r="D750" s="30"/>
      <c r="E750" s="30"/>
      <c r="F750" s="30"/>
      <c r="G750" s="30"/>
      <c r="H750" s="30"/>
      <c r="I750" s="30"/>
      <c r="J750" s="30"/>
      <c r="K750" s="30"/>
      <c r="L750" s="31"/>
    </row>
    <row r="751" spans="1:12">
      <c r="A751" s="30"/>
      <c r="B751" s="30"/>
      <c r="C751" s="30"/>
      <c r="D751" s="30"/>
      <c r="E751" s="30"/>
      <c r="F751" s="30"/>
      <c r="G751" s="30"/>
      <c r="H751" s="30"/>
      <c r="I751" s="30"/>
      <c r="J751" s="30"/>
      <c r="K751" s="30"/>
      <c r="L751" s="31"/>
    </row>
    <row r="752" spans="1:12">
      <c r="A752" s="30"/>
      <c r="B752" s="30"/>
      <c r="C752" s="30"/>
      <c r="D752" s="30"/>
      <c r="E752" s="30"/>
      <c r="F752" s="30"/>
      <c r="G752" s="30"/>
      <c r="H752" s="30"/>
      <c r="I752" s="30"/>
      <c r="J752" s="30"/>
      <c r="K752" s="30"/>
      <c r="L752" s="31"/>
    </row>
    <row r="753" spans="1:12">
      <c r="A753" s="30"/>
      <c r="B753" s="30"/>
      <c r="C753" s="30"/>
      <c r="D753" s="30"/>
      <c r="E753" s="30"/>
      <c r="F753" s="30"/>
      <c r="G753" s="30"/>
      <c r="H753" s="30"/>
      <c r="I753" s="30"/>
      <c r="J753" s="30"/>
      <c r="K753" s="30"/>
      <c r="L753" s="31"/>
    </row>
    <row r="754" spans="1:12">
      <c r="A754" s="30"/>
      <c r="B754" s="30"/>
      <c r="C754" s="30"/>
      <c r="D754" s="30"/>
      <c r="E754" s="30"/>
      <c r="F754" s="30"/>
      <c r="G754" s="30"/>
      <c r="H754" s="30"/>
      <c r="I754" s="30"/>
      <c r="J754" s="30"/>
      <c r="K754" s="30"/>
      <c r="L754" s="31"/>
    </row>
    <row r="755" spans="1:12">
      <c r="A755" s="30"/>
      <c r="B755" s="30"/>
      <c r="C755" s="30"/>
      <c r="D755" s="30"/>
      <c r="E755" s="30"/>
      <c r="F755" s="30"/>
      <c r="G755" s="30"/>
      <c r="H755" s="30"/>
      <c r="I755" s="30"/>
      <c r="J755" s="30"/>
      <c r="K755" s="30"/>
      <c r="L755" s="31"/>
    </row>
    <row r="756" spans="1:12">
      <c r="A756" s="30"/>
      <c r="B756" s="30"/>
      <c r="C756" s="30"/>
      <c r="D756" s="30"/>
      <c r="E756" s="30"/>
      <c r="F756" s="30"/>
      <c r="G756" s="30"/>
      <c r="H756" s="30"/>
      <c r="I756" s="30"/>
      <c r="J756" s="30"/>
      <c r="K756" s="30"/>
      <c r="L756" s="31"/>
    </row>
    <row r="757" spans="1:12">
      <c r="A757" s="30"/>
      <c r="B757" s="30"/>
      <c r="C757" s="30"/>
      <c r="D757" s="30"/>
      <c r="E757" s="30"/>
      <c r="F757" s="30"/>
      <c r="G757" s="30"/>
      <c r="H757" s="30"/>
      <c r="I757" s="30"/>
      <c r="J757" s="30"/>
      <c r="K757" s="30"/>
      <c r="L757" s="31"/>
    </row>
    <row r="758" spans="1:12">
      <c r="A758" s="30"/>
      <c r="B758" s="30"/>
      <c r="C758" s="30"/>
      <c r="D758" s="30"/>
      <c r="E758" s="30"/>
      <c r="F758" s="30"/>
      <c r="G758" s="30"/>
      <c r="H758" s="30"/>
      <c r="I758" s="30"/>
      <c r="J758" s="30"/>
      <c r="K758" s="30"/>
      <c r="L758" s="31"/>
    </row>
    <row r="759" spans="1:12">
      <c r="A759" s="30"/>
      <c r="B759" s="30"/>
      <c r="C759" s="30"/>
      <c r="D759" s="30"/>
      <c r="E759" s="30"/>
      <c r="F759" s="30"/>
      <c r="G759" s="30"/>
      <c r="H759" s="30"/>
      <c r="I759" s="30"/>
      <c r="J759" s="30"/>
      <c r="K759" s="30"/>
      <c r="L759" s="31"/>
    </row>
    <row r="760" spans="1:12">
      <c r="A760" s="30"/>
      <c r="B760" s="30"/>
      <c r="C760" s="30"/>
      <c r="D760" s="30"/>
      <c r="E760" s="30"/>
      <c r="F760" s="30"/>
      <c r="G760" s="30"/>
      <c r="H760" s="30"/>
      <c r="I760" s="30"/>
      <c r="J760" s="30"/>
      <c r="K760" s="30"/>
      <c r="L760" s="31"/>
    </row>
    <row r="761" spans="1:12">
      <c r="A761" s="30"/>
      <c r="B761" s="30"/>
      <c r="C761" s="30"/>
      <c r="D761" s="30"/>
      <c r="E761" s="30"/>
      <c r="F761" s="30"/>
      <c r="G761" s="30"/>
      <c r="H761" s="30"/>
      <c r="I761" s="30"/>
      <c r="J761" s="30"/>
      <c r="K761" s="30"/>
      <c r="L761" s="31"/>
    </row>
    <row r="762" spans="1:12">
      <c r="A762" s="30"/>
      <c r="B762" s="30"/>
      <c r="C762" s="30"/>
      <c r="D762" s="30"/>
      <c r="E762" s="30"/>
      <c r="F762" s="30"/>
      <c r="G762" s="30"/>
      <c r="H762" s="30"/>
      <c r="I762" s="30"/>
      <c r="J762" s="30"/>
      <c r="K762" s="30"/>
      <c r="L762" s="31"/>
    </row>
    <row r="763" spans="1:12">
      <c r="A763" s="30"/>
      <c r="B763" s="30"/>
      <c r="C763" s="30"/>
      <c r="D763" s="30"/>
      <c r="E763" s="30"/>
      <c r="F763" s="30"/>
      <c r="G763" s="30"/>
      <c r="H763" s="30"/>
      <c r="I763" s="30"/>
      <c r="J763" s="30"/>
      <c r="K763" s="30"/>
      <c r="L763" s="31"/>
    </row>
    <row r="764" spans="1:12">
      <c r="A764" s="30"/>
      <c r="B764" s="30"/>
      <c r="C764" s="30"/>
      <c r="D764" s="30"/>
      <c r="E764" s="30"/>
      <c r="F764" s="30"/>
      <c r="G764" s="30"/>
      <c r="H764" s="30"/>
      <c r="I764" s="30"/>
      <c r="J764" s="30"/>
      <c r="K764" s="30"/>
      <c r="L764" s="31"/>
    </row>
    <row r="765" spans="1:12">
      <c r="A765" s="30"/>
      <c r="B765" s="30"/>
      <c r="C765" s="30"/>
      <c r="D765" s="30"/>
      <c r="E765" s="30"/>
      <c r="F765" s="30"/>
      <c r="G765" s="30"/>
      <c r="H765" s="30"/>
      <c r="I765" s="30"/>
      <c r="J765" s="30"/>
      <c r="K765" s="30"/>
      <c r="L765" s="31"/>
    </row>
    <row r="766" spans="1:12">
      <c r="A766" s="30"/>
      <c r="B766" s="30"/>
      <c r="C766" s="30"/>
      <c r="D766" s="30"/>
      <c r="E766" s="30"/>
      <c r="F766" s="30"/>
      <c r="G766" s="30"/>
      <c r="H766" s="30"/>
      <c r="I766" s="30"/>
      <c r="J766" s="30"/>
      <c r="K766" s="30"/>
      <c r="L766" s="31"/>
    </row>
    <row r="767" spans="1:12">
      <c r="A767" s="30"/>
      <c r="B767" s="30"/>
      <c r="C767" s="30"/>
      <c r="D767" s="30"/>
      <c r="E767" s="30"/>
      <c r="F767" s="30"/>
      <c r="G767" s="30"/>
      <c r="H767" s="30"/>
      <c r="I767" s="30"/>
      <c r="J767" s="30"/>
      <c r="K767" s="30"/>
      <c r="L767" s="31"/>
    </row>
    <row r="768" spans="1:12">
      <c r="A768" s="30"/>
      <c r="B768" s="30"/>
      <c r="C768" s="30"/>
      <c r="D768" s="30"/>
      <c r="E768" s="30"/>
      <c r="F768" s="30"/>
      <c r="G768" s="30"/>
      <c r="H768" s="30"/>
      <c r="I768" s="30"/>
      <c r="J768" s="30"/>
      <c r="K768" s="30"/>
      <c r="L768" s="31"/>
    </row>
    <row r="769" spans="1:12">
      <c r="A769" s="30"/>
      <c r="B769" s="30"/>
      <c r="C769" s="30"/>
      <c r="D769" s="30"/>
      <c r="E769" s="30"/>
      <c r="F769" s="30"/>
      <c r="G769" s="30"/>
      <c r="H769" s="30"/>
      <c r="I769" s="30"/>
      <c r="J769" s="30"/>
      <c r="K769" s="30"/>
      <c r="L769" s="31"/>
    </row>
    <row r="770" spans="1:12">
      <c r="A770" s="30"/>
      <c r="B770" s="30"/>
      <c r="C770" s="30"/>
      <c r="D770" s="30"/>
      <c r="E770" s="30"/>
      <c r="F770" s="30"/>
      <c r="G770" s="30"/>
      <c r="H770" s="30"/>
      <c r="I770" s="30"/>
      <c r="J770" s="30"/>
      <c r="K770" s="30"/>
      <c r="L770" s="31"/>
    </row>
    <row r="771" spans="1:12">
      <c r="A771" s="30"/>
      <c r="B771" s="30"/>
      <c r="C771" s="30"/>
      <c r="D771" s="30"/>
      <c r="E771" s="30"/>
      <c r="F771" s="30"/>
      <c r="G771" s="30"/>
      <c r="H771" s="30"/>
      <c r="I771" s="30"/>
      <c r="J771" s="30"/>
      <c r="K771" s="30"/>
      <c r="L771" s="31"/>
    </row>
    <row r="772" spans="1:12">
      <c r="A772" s="30"/>
      <c r="B772" s="30"/>
      <c r="C772" s="30"/>
      <c r="D772" s="30"/>
      <c r="E772" s="30"/>
      <c r="F772" s="30"/>
      <c r="G772" s="30"/>
      <c r="H772" s="30"/>
      <c r="I772" s="30"/>
      <c r="J772" s="30"/>
      <c r="K772" s="30"/>
      <c r="L772" s="31"/>
    </row>
    <row r="773" spans="1:12">
      <c r="A773" s="30"/>
      <c r="B773" s="30"/>
      <c r="C773" s="30"/>
      <c r="D773" s="30"/>
      <c r="E773" s="30"/>
      <c r="F773" s="30"/>
      <c r="G773" s="30"/>
      <c r="H773" s="30"/>
      <c r="I773" s="30"/>
      <c r="J773" s="30"/>
      <c r="K773" s="30"/>
      <c r="L773" s="31"/>
    </row>
    <row r="774" spans="1:12">
      <c r="A774" s="30"/>
      <c r="B774" s="30"/>
      <c r="C774" s="30"/>
      <c r="D774" s="30"/>
      <c r="E774" s="30"/>
      <c r="F774" s="30"/>
      <c r="G774" s="30"/>
      <c r="H774" s="30"/>
      <c r="I774" s="30"/>
      <c r="J774" s="30"/>
      <c r="K774" s="30"/>
      <c r="L774" s="31"/>
    </row>
    <row r="775" spans="1:12">
      <c r="A775" s="30"/>
      <c r="B775" s="30"/>
      <c r="C775" s="30"/>
      <c r="D775" s="30"/>
      <c r="E775" s="30"/>
      <c r="F775" s="30"/>
      <c r="G775" s="30"/>
      <c r="H775" s="30"/>
      <c r="I775" s="30"/>
      <c r="J775" s="30"/>
      <c r="K775" s="30"/>
      <c r="L775" s="31"/>
    </row>
    <row r="776" spans="1:12">
      <c r="A776" s="30"/>
      <c r="B776" s="30"/>
      <c r="C776" s="30"/>
      <c r="D776" s="30"/>
      <c r="E776" s="30"/>
      <c r="F776" s="30"/>
      <c r="G776" s="30"/>
      <c r="H776" s="30"/>
      <c r="I776" s="30"/>
      <c r="J776" s="30"/>
      <c r="K776" s="30"/>
      <c r="L776" s="31"/>
    </row>
    <row r="777" spans="1:12">
      <c r="A777" s="30"/>
      <c r="B777" s="30"/>
      <c r="C777" s="30"/>
      <c r="D777" s="30"/>
      <c r="E777" s="30"/>
      <c r="F777" s="30"/>
      <c r="G777" s="30"/>
      <c r="H777" s="30"/>
      <c r="I777" s="30"/>
      <c r="J777" s="30"/>
      <c r="K777" s="30"/>
      <c r="L777" s="31"/>
    </row>
    <row r="778" spans="1:12">
      <c r="A778" s="30"/>
      <c r="B778" s="30"/>
      <c r="C778" s="30"/>
      <c r="D778" s="30"/>
      <c r="E778" s="30"/>
      <c r="F778" s="30"/>
      <c r="G778" s="30"/>
      <c r="H778" s="30"/>
      <c r="I778" s="30"/>
      <c r="J778" s="30"/>
      <c r="K778" s="30"/>
      <c r="L778" s="31"/>
    </row>
    <row r="779" spans="1:12">
      <c r="A779" s="30"/>
      <c r="B779" s="30"/>
      <c r="C779" s="30"/>
      <c r="D779" s="30"/>
      <c r="E779" s="30"/>
      <c r="F779" s="30"/>
      <c r="G779" s="30"/>
      <c r="H779" s="30"/>
      <c r="I779" s="30"/>
      <c r="J779" s="30"/>
      <c r="K779" s="30"/>
      <c r="L779" s="31"/>
    </row>
    <row r="780" spans="1:12">
      <c r="A780" s="30"/>
      <c r="B780" s="30"/>
      <c r="C780" s="30"/>
      <c r="D780" s="30"/>
      <c r="E780" s="30"/>
      <c r="F780" s="30"/>
      <c r="G780" s="30"/>
      <c r="H780" s="30"/>
      <c r="I780" s="30"/>
      <c r="J780" s="30"/>
      <c r="K780" s="30"/>
      <c r="L780" s="31"/>
    </row>
    <row r="781" spans="1:12">
      <c r="A781" s="30"/>
      <c r="B781" s="30"/>
      <c r="C781" s="30"/>
      <c r="D781" s="30"/>
      <c r="E781" s="30"/>
      <c r="F781" s="30"/>
      <c r="G781" s="30"/>
      <c r="H781" s="30"/>
      <c r="I781" s="30"/>
      <c r="J781" s="30"/>
      <c r="K781" s="30"/>
      <c r="L781" s="31"/>
    </row>
    <row r="782" spans="1:12">
      <c r="A782" s="30"/>
      <c r="B782" s="30"/>
      <c r="C782" s="30"/>
      <c r="D782" s="30"/>
      <c r="E782" s="30"/>
      <c r="F782" s="30"/>
      <c r="G782" s="30"/>
      <c r="H782" s="30"/>
      <c r="I782" s="30"/>
      <c r="J782" s="30"/>
      <c r="K782" s="30"/>
      <c r="L782" s="31"/>
    </row>
    <row r="783" spans="1:12">
      <c r="A783" s="30"/>
      <c r="B783" s="30"/>
      <c r="C783" s="30"/>
      <c r="D783" s="30"/>
      <c r="E783" s="30"/>
      <c r="F783" s="30"/>
      <c r="G783" s="30"/>
      <c r="H783" s="30"/>
      <c r="I783" s="30"/>
      <c r="J783" s="30"/>
      <c r="K783" s="30"/>
      <c r="L783" s="31"/>
    </row>
    <row r="784" spans="1:12">
      <c r="A784" s="30"/>
      <c r="B784" s="30"/>
      <c r="C784" s="30"/>
      <c r="D784" s="30"/>
      <c r="E784" s="30"/>
      <c r="F784" s="30"/>
      <c r="G784" s="30"/>
      <c r="H784" s="30"/>
      <c r="I784" s="30"/>
      <c r="J784" s="30"/>
      <c r="K784" s="30"/>
      <c r="L784" s="31"/>
    </row>
    <row r="785" spans="1:12">
      <c r="A785" s="30"/>
      <c r="B785" s="30"/>
      <c r="C785" s="30"/>
      <c r="D785" s="30"/>
      <c r="E785" s="30"/>
      <c r="F785" s="30"/>
      <c r="G785" s="30"/>
      <c r="H785" s="30"/>
      <c r="I785" s="30"/>
      <c r="J785" s="30"/>
      <c r="K785" s="30"/>
      <c r="L785" s="31"/>
    </row>
    <row r="786" spans="1:12">
      <c r="A786" s="30"/>
      <c r="B786" s="30"/>
      <c r="C786" s="30"/>
      <c r="D786" s="30"/>
      <c r="E786" s="30"/>
      <c r="F786" s="30"/>
      <c r="G786" s="30"/>
      <c r="H786" s="30"/>
      <c r="I786" s="30"/>
      <c r="J786" s="30"/>
      <c r="K786" s="30"/>
      <c r="L786" s="31"/>
    </row>
    <row r="787" spans="1:12">
      <c r="A787" s="30"/>
      <c r="B787" s="30"/>
      <c r="C787" s="30"/>
      <c r="D787" s="30"/>
      <c r="E787" s="30"/>
      <c r="F787" s="30"/>
      <c r="G787" s="30"/>
      <c r="H787" s="30"/>
      <c r="I787" s="30"/>
      <c r="J787" s="30"/>
      <c r="K787" s="30"/>
      <c r="L787" s="31"/>
    </row>
    <row r="788" spans="1:12">
      <c r="A788" s="30"/>
      <c r="B788" s="30"/>
      <c r="C788" s="30"/>
      <c r="D788" s="30"/>
      <c r="E788" s="30"/>
      <c r="F788" s="30"/>
      <c r="G788" s="30"/>
      <c r="H788" s="30"/>
      <c r="I788" s="30"/>
      <c r="J788" s="30"/>
      <c r="K788" s="30"/>
      <c r="L788" s="31"/>
    </row>
    <row r="789" spans="1:12">
      <c r="A789" s="30"/>
      <c r="B789" s="30"/>
      <c r="C789" s="30"/>
      <c r="D789" s="30"/>
      <c r="E789" s="30"/>
      <c r="F789" s="30"/>
      <c r="G789" s="30"/>
      <c r="H789" s="30"/>
      <c r="I789" s="30"/>
      <c r="J789" s="30"/>
      <c r="K789" s="30"/>
      <c r="L789" s="31"/>
    </row>
    <row r="790" spans="1:12">
      <c r="A790" s="30"/>
      <c r="B790" s="30"/>
      <c r="C790" s="30"/>
      <c r="D790" s="30"/>
      <c r="E790" s="30"/>
      <c r="F790" s="30"/>
      <c r="G790" s="30"/>
      <c r="H790" s="30"/>
      <c r="I790" s="30"/>
      <c r="J790" s="30"/>
      <c r="K790" s="30"/>
      <c r="L790" s="31"/>
    </row>
    <row r="791" spans="1:12">
      <c r="A791" s="30"/>
      <c r="B791" s="30"/>
      <c r="C791" s="30"/>
      <c r="D791" s="30"/>
      <c r="E791" s="30"/>
      <c r="F791" s="30"/>
      <c r="G791" s="30"/>
      <c r="H791" s="30"/>
      <c r="I791" s="30"/>
      <c r="J791" s="30"/>
      <c r="K791" s="30"/>
      <c r="L791" s="31"/>
    </row>
    <row r="792" spans="1:12">
      <c r="A792" s="30"/>
      <c r="B792" s="30"/>
      <c r="C792" s="30"/>
      <c r="D792" s="30"/>
      <c r="E792" s="30"/>
      <c r="F792" s="30"/>
      <c r="G792" s="30"/>
      <c r="H792" s="30"/>
      <c r="I792" s="30"/>
      <c r="J792" s="30"/>
      <c r="K792" s="30"/>
      <c r="L792" s="31"/>
    </row>
    <row r="793" spans="1:12">
      <c r="A793" s="30"/>
      <c r="B793" s="30"/>
      <c r="C793" s="30"/>
      <c r="D793" s="30"/>
      <c r="E793" s="30"/>
      <c r="F793" s="30"/>
      <c r="G793" s="30"/>
      <c r="H793" s="30"/>
      <c r="I793" s="30"/>
      <c r="J793" s="30"/>
      <c r="K793" s="30"/>
      <c r="L793" s="31"/>
    </row>
    <row r="794" spans="1:12">
      <c r="A794" s="30"/>
      <c r="B794" s="30"/>
      <c r="C794" s="30"/>
      <c r="D794" s="30"/>
      <c r="E794" s="30"/>
      <c r="F794" s="30"/>
      <c r="G794" s="30"/>
      <c r="H794" s="30"/>
      <c r="I794" s="30"/>
      <c r="J794" s="30"/>
      <c r="K794" s="30"/>
      <c r="L794" s="31"/>
    </row>
    <row r="795" spans="1:12">
      <c r="A795" s="30"/>
      <c r="B795" s="30"/>
      <c r="C795" s="30"/>
      <c r="D795" s="30"/>
      <c r="E795" s="30"/>
      <c r="F795" s="30"/>
      <c r="G795" s="30"/>
      <c r="H795" s="30"/>
      <c r="I795" s="30"/>
      <c r="J795" s="30"/>
      <c r="K795" s="30"/>
      <c r="L795" s="31"/>
    </row>
    <row r="796" spans="1:12">
      <c r="A796" s="30"/>
      <c r="B796" s="30"/>
      <c r="C796" s="30"/>
      <c r="D796" s="30"/>
      <c r="E796" s="30"/>
      <c r="F796" s="30"/>
      <c r="G796" s="30"/>
      <c r="H796" s="30"/>
      <c r="I796" s="30"/>
      <c r="J796" s="30"/>
      <c r="K796" s="30"/>
      <c r="L796" s="31"/>
    </row>
    <row r="797" spans="1:12">
      <c r="A797" s="30"/>
      <c r="B797" s="30"/>
      <c r="C797" s="30"/>
      <c r="D797" s="30"/>
      <c r="E797" s="30"/>
      <c r="F797" s="30"/>
      <c r="G797" s="30"/>
      <c r="H797" s="30"/>
      <c r="I797" s="30"/>
      <c r="J797" s="30"/>
      <c r="K797" s="30"/>
      <c r="L797" s="31"/>
    </row>
    <row r="798" spans="1:12">
      <c r="A798" s="30"/>
      <c r="B798" s="30"/>
      <c r="C798" s="30"/>
      <c r="D798" s="30"/>
      <c r="E798" s="30"/>
      <c r="F798" s="30"/>
      <c r="G798" s="30"/>
      <c r="H798" s="30"/>
      <c r="I798" s="30"/>
      <c r="J798" s="30"/>
      <c r="K798" s="30"/>
      <c r="L798" s="31"/>
    </row>
    <row r="799" spans="1:12">
      <c r="A799" s="30"/>
      <c r="B799" s="30"/>
      <c r="C799" s="30"/>
      <c r="D799" s="30"/>
      <c r="E799" s="30"/>
      <c r="F799" s="30"/>
      <c r="G799" s="30"/>
      <c r="H799" s="30"/>
      <c r="I799" s="30"/>
      <c r="J799" s="30"/>
      <c r="K799" s="30"/>
      <c r="L799" s="31"/>
    </row>
    <row r="800" spans="1:12">
      <c r="A800" s="30"/>
      <c r="B800" s="30"/>
      <c r="C800" s="30"/>
      <c r="D800" s="30"/>
      <c r="E800" s="30"/>
      <c r="F800" s="30"/>
      <c r="G800" s="30"/>
      <c r="H800" s="30"/>
      <c r="I800" s="30"/>
      <c r="J800" s="30"/>
      <c r="K800" s="30"/>
      <c r="L800" s="31"/>
    </row>
    <row r="801" spans="1:12">
      <c r="A801" s="30"/>
      <c r="B801" s="30"/>
      <c r="C801" s="30"/>
      <c r="D801" s="30"/>
      <c r="E801" s="30"/>
      <c r="F801" s="30"/>
      <c r="G801" s="30"/>
      <c r="H801" s="30"/>
      <c r="I801" s="30"/>
      <c r="J801" s="30"/>
      <c r="K801" s="30"/>
      <c r="L801" s="31"/>
    </row>
    <row r="802" spans="1:12">
      <c r="A802" s="30"/>
      <c r="B802" s="30"/>
      <c r="C802" s="30"/>
      <c r="D802" s="30"/>
      <c r="E802" s="30"/>
      <c r="F802" s="30"/>
      <c r="G802" s="30"/>
      <c r="H802" s="30"/>
      <c r="I802" s="30"/>
      <c r="J802" s="30"/>
      <c r="K802" s="30"/>
      <c r="L802" s="31"/>
    </row>
    <row r="803" spans="1:12">
      <c r="A803" s="30"/>
      <c r="B803" s="30"/>
      <c r="C803" s="30"/>
      <c r="D803" s="30"/>
      <c r="E803" s="30"/>
      <c r="F803" s="30"/>
      <c r="G803" s="30"/>
      <c r="H803" s="30"/>
      <c r="I803" s="30"/>
      <c r="J803" s="30"/>
      <c r="K803" s="30"/>
      <c r="L803" s="31"/>
    </row>
    <row r="804" spans="1:12">
      <c r="A804" s="30"/>
      <c r="B804" s="30"/>
      <c r="C804" s="30"/>
      <c r="D804" s="30"/>
      <c r="E804" s="30"/>
      <c r="F804" s="30"/>
      <c r="G804" s="30"/>
      <c r="H804" s="30"/>
      <c r="I804" s="30"/>
      <c r="J804" s="30"/>
      <c r="K804" s="30"/>
      <c r="L804" s="31"/>
    </row>
    <row r="805" spans="1:12">
      <c r="A805" s="30"/>
      <c r="B805" s="30"/>
      <c r="C805" s="30"/>
      <c r="D805" s="30"/>
      <c r="E805" s="30"/>
      <c r="F805" s="30"/>
      <c r="G805" s="30"/>
      <c r="H805" s="30"/>
      <c r="I805" s="30"/>
      <c r="J805" s="30"/>
      <c r="K805" s="30"/>
      <c r="L805" s="31"/>
    </row>
    <row r="806" spans="1:12">
      <c r="A806" s="30"/>
      <c r="B806" s="30"/>
      <c r="C806" s="30"/>
      <c r="D806" s="30"/>
      <c r="E806" s="30"/>
      <c r="F806" s="30"/>
      <c r="G806" s="30"/>
      <c r="H806" s="30"/>
      <c r="I806" s="30"/>
      <c r="J806" s="30"/>
      <c r="K806" s="30"/>
      <c r="L806" s="31"/>
    </row>
    <row r="807" spans="1:12">
      <c r="A807" s="30"/>
      <c r="B807" s="30"/>
      <c r="C807" s="30"/>
      <c r="D807" s="30"/>
      <c r="E807" s="30"/>
      <c r="F807" s="30"/>
      <c r="G807" s="30"/>
      <c r="H807" s="30"/>
      <c r="I807" s="30"/>
      <c r="J807" s="30"/>
      <c r="K807" s="30"/>
      <c r="L807" s="31"/>
    </row>
    <row r="808" spans="1:12">
      <c r="A808" s="30"/>
      <c r="B808" s="30"/>
      <c r="C808" s="30"/>
      <c r="D808" s="30"/>
      <c r="E808" s="30"/>
      <c r="F808" s="30"/>
      <c r="G808" s="30"/>
      <c r="H808" s="30"/>
      <c r="I808" s="30"/>
      <c r="J808" s="30"/>
      <c r="K808" s="30"/>
      <c r="L808" s="31"/>
    </row>
    <row r="809" spans="1:12">
      <c r="A809" s="30"/>
      <c r="B809" s="30"/>
      <c r="C809" s="30"/>
      <c r="D809" s="30"/>
      <c r="E809" s="30"/>
      <c r="F809" s="30"/>
      <c r="G809" s="30"/>
      <c r="H809" s="30"/>
      <c r="I809" s="30"/>
      <c r="J809" s="30"/>
      <c r="K809" s="30"/>
      <c r="L809" s="31"/>
    </row>
    <row r="810" spans="1:12">
      <c r="A810" s="30"/>
      <c r="B810" s="30"/>
      <c r="C810" s="30"/>
      <c r="D810" s="30"/>
      <c r="E810" s="30"/>
      <c r="F810" s="30"/>
      <c r="G810" s="30"/>
      <c r="H810" s="30"/>
      <c r="I810" s="30"/>
      <c r="J810" s="30"/>
      <c r="K810" s="30"/>
      <c r="L810" s="31"/>
    </row>
    <row r="811" spans="1:12">
      <c r="A811" s="30"/>
      <c r="B811" s="30"/>
      <c r="C811" s="30"/>
      <c r="D811" s="30"/>
      <c r="E811" s="30"/>
      <c r="F811" s="30"/>
      <c r="G811" s="30"/>
      <c r="H811" s="30"/>
      <c r="I811" s="30"/>
      <c r="J811" s="30"/>
      <c r="K811" s="30"/>
      <c r="L811" s="31"/>
    </row>
    <row r="812" spans="1:12">
      <c r="A812" s="30"/>
      <c r="B812" s="30"/>
      <c r="C812" s="30"/>
      <c r="D812" s="30"/>
      <c r="E812" s="30"/>
      <c r="F812" s="30"/>
      <c r="G812" s="30"/>
      <c r="H812" s="30"/>
      <c r="I812" s="30"/>
      <c r="J812" s="30"/>
      <c r="K812" s="30"/>
      <c r="L812" s="31"/>
    </row>
    <row r="813" spans="1:12">
      <c r="A813" s="30"/>
      <c r="B813" s="30"/>
      <c r="C813" s="30"/>
      <c r="D813" s="30"/>
      <c r="E813" s="30"/>
      <c r="F813" s="30"/>
      <c r="G813" s="30"/>
      <c r="H813" s="30"/>
      <c r="I813" s="30"/>
      <c r="J813" s="30"/>
      <c r="K813" s="30"/>
      <c r="L813" s="31"/>
    </row>
    <row r="814" spans="1:12">
      <c r="A814" s="30"/>
      <c r="B814" s="30"/>
      <c r="C814" s="30"/>
      <c r="D814" s="30"/>
      <c r="E814" s="30"/>
      <c r="F814" s="30"/>
      <c r="G814" s="30"/>
      <c r="H814" s="30"/>
      <c r="I814" s="30"/>
      <c r="J814" s="30"/>
      <c r="K814" s="30"/>
      <c r="L814" s="31"/>
    </row>
    <row r="815" spans="1:12">
      <c r="A815" s="30"/>
      <c r="B815" s="30"/>
      <c r="C815" s="30"/>
      <c r="D815" s="30"/>
      <c r="E815" s="30"/>
      <c r="F815" s="30"/>
      <c r="G815" s="30"/>
      <c r="H815" s="30"/>
      <c r="I815" s="30"/>
      <c r="J815" s="30"/>
      <c r="K815" s="30"/>
      <c r="L815" s="31"/>
    </row>
    <row r="816" spans="1:12">
      <c r="A816" s="30"/>
      <c r="B816" s="30"/>
      <c r="C816" s="30"/>
      <c r="D816" s="30"/>
      <c r="E816" s="30"/>
      <c r="F816" s="30"/>
      <c r="G816" s="30"/>
      <c r="H816" s="30"/>
      <c r="I816" s="30"/>
      <c r="J816" s="30"/>
      <c r="K816" s="30"/>
      <c r="L816" s="31"/>
    </row>
    <row r="817" spans="1:12">
      <c r="A817" s="30"/>
      <c r="B817" s="30"/>
      <c r="C817" s="30"/>
      <c r="D817" s="30"/>
      <c r="E817" s="30"/>
      <c r="F817" s="30"/>
      <c r="G817" s="30"/>
      <c r="H817" s="30"/>
      <c r="I817" s="30"/>
      <c r="J817" s="30"/>
      <c r="K817" s="30"/>
      <c r="L817" s="31"/>
    </row>
    <row r="818" spans="1:12">
      <c r="A818" s="30"/>
      <c r="B818" s="30"/>
      <c r="C818" s="30"/>
      <c r="D818" s="30"/>
      <c r="E818" s="30"/>
      <c r="F818" s="30"/>
      <c r="G818" s="30"/>
      <c r="H818" s="30"/>
      <c r="I818" s="30"/>
      <c r="J818" s="30"/>
      <c r="K818" s="30"/>
      <c r="L818" s="31"/>
    </row>
    <row r="819" spans="1:12">
      <c r="A819" s="30"/>
      <c r="B819" s="30"/>
      <c r="C819" s="30"/>
      <c r="D819" s="30"/>
      <c r="E819" s="30"/>
      <c r="F819" s="30"/>
      <c r="G819" s="30"/>
      <c r="H819" s="30"/>
      <c r="I819" s="30"/>
      <c r="J819" s="30"/>
      <c r="K819" s="30"/>
      <c r="L819" s="31"/>
    </row>
    <row r="820" spans="1:12">
      <c r="A820" s="30"/>
      <c r="B820" s="30"/>
      <c r="C820" s="30"/>
      <c r="D820" s="30"/>
      <c r="E820" s="30"/>
      <c r="F820" s="30"/>
      <c r="G820" s="30"/>
      <c r="H820" s="30"/>
      <c r="I820" s="30"/>
      <c r="J820" s="30"/>
      <c r="K820" s="30"/>
      <c r="L820" s="31"/>
    </row>
    <row r="821" spans="1:12">
      <c r="F821" s="30"/>
      <c r="G821" s="30"/>
      <c r="H821" s="30"/>
      <c r="I821" s="30"/>
      <c r="J821" s="30"/>
      <c r="K821" s="30"/>
      <c r="L821" s="31"/>
    </row>
    <row r="822" spans="1:12">
      <c r="F822" s="30"/>
      <c r="G822" s="30"/>
      <c r="H822" s="30"/>
      <c r="I822" s="30"/>
      <c r="J822" s="30"/>
      <c r="K822" s="30"/>
      <c r="L822" s="31"/>
    </row>
    <row r="823" spans="1:12">
      <c r="F823" s="30"/>
      <c r="G823" s="30"/>
      <c r="H823" s="30"/>
      <c r="I823" s="30"/>
      <c r="J823" s="30"/>
      <c r="K823" s="30"/>
      <c r="L823" s="31"/>
    </row>
    <row r="824" spans="1:12">
      <c r="F824" s="30"/>
      <c r="G824" s="30"/>
      <c r="H824" s="30"/>
      <c r="I824" s="30"/>
      <c r="J824" s="30"/>
      <c r="K824" s="30"/>
      <c r="L824" s="31"/>
    </row>
    <row r="825" spans="1:12">
      <c r="F825" s="30"/>
      <c r="G825" s="30"/>
      <c r="H825" s="30"/>
      <c r="I825" s="30"/>
      <c r="J825" s="30"/>
      <c r="K825" s="30"/>
      <c r="L825" s="31"/>
    </row>
    <row r="826" spans="1:12">
      <c r="F826" s="30"/>
      <c r="G826" s="30"/>
      <c r="H826" s="30"/>
      <c r="I826" s="30"/>
      <c r="J826" s="30"/>
      <c r="K826" s="30"/>
      <c r="L826" s="31"/>
    </row>
    <row r="827" spans="1:12">
      <c r="F827" s="30"/>
      <c r="G827" s="30"/>
      <c r="H827" s="30"/>
      <c r="I827" s="30"/>
      <c r="J827" s="30"/>
      <c r="K827" s="30"/>
      <c r="L827" s="31"/>
    </row>
    <row r="828" spans="1:12">
      <c r="F828" s="30"/>
      <c r="G828" s="30"/>
      <c r="H828" s="30"/>
      <c r="I828" s="30"/>
      <c r="J828" s="30"/>
      <c r="K828" s="30"/>
      <c r="L828" s="31"/>
    </row>
    <row r="829" spans="1:12">
      <c r="F829" s="30"/>
      <c r="G829" s="30"/>
      <c r="H829" s="30"/>
      <c r="I829" s="30"/>
      <c r="J829" s="30"/>
      <c r="K829" s="30"/>
      <c r="L829" s="31"/>
    </row>
  </sheetData>
  <mergeCells count="11">
    <mergeCell ref="A3:F4"/>
    <mergeCell ref="A12:F12"/>
    <mergeCell ref="A14:F14"/>
    <mergeCell ref="A5:F5"/>
    <mergeCell ref="G14:H14"/>
    <mergeCell ref="A7:B7"/>
    <mergeCell ref="B20:D20"/>
    <mergeCell ref="B16:D16"/>
    <mergeCell ref="B19:D19"/>
    <mergeCell ref="B17:D17"/>
    <mergeCell ref="B18:D18"/>
  </mergeCells>
  <hyperlinks>
    <hyperlink ref="A17" location="INTRODUCTION!A1" display="INTRODUCTION"/>
    <hyperlink ref="A18" location="'Constants and Trends'!A1" display="CONSTANTS AND TRENDS"/>
    <hyperlink ref="A10" r:id="rId1"/>
    <hyperlink ref="A19" location="'Business As Usual'!A1" display="BUSINESS AS USUAL"/>
    <hyperlink ref="E10" r:id="rId2"/>
    <hyperlink ref="C10" r:id="rId3"/>
    <hyperlink ref="A20" location="'On-Road'!A1" display="ON-ROAD"/>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96B4"/>
  </sheetPr>
  <dimension ref="A1:OG45"/>
  <sheetViews>
    <sheetView topLeftCell="A25" zoomScale="80" zoomScaleNormal="80" workbookViewId="0">
      <selection activeCell="A14" sqref="A14:T14"/>
    </sheetView>
  </sheetViews>
  <sheetFormatPr defaultColWidth="8.44140625" defaultRowHeight="15" outlineLevelRow="2"/>
  <cols>
    <col min="1" max="3" width="17.6640625" style="91" customWidth="1"/>
    <col min="4" max="5" width="11.77734375" style="91" customWidth="1"/>
    <col min="6" max="6" width="14.33203125" style="91" customWidth="1"/>
    <col min="7" max="49" width="11.77734375" style="91" customWidth="1"/>
    <col min="50" max="16384" width="8.44140625" style="91"/>
  </cols>
  <sheetData>
    <row r="1" spans="1:397" s="71" customFormat="1" ht="25.5">
      <c r="A1" s="70" t="s">
        <v>36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c r="IN1" s="72"/>
      <c r="IO1" s="72"/>
      <c r="IP1" s="72"/>
      <c r="IQ1" s="72"/>
      <c r="IR1" s="72"/>
      <c r="IS1" s="72"/>
      <c r="IT1" s="72"/>
      <c r="IU1" s="72"/>
      <c r="IV1" s="72"/>
      <c r="IW1" s="72"/>
      <c r="IX1" s="72"/>
      <c r="IY1" s="72"/>
      <c r="IZ1" s="72"/>
      <c r="JA1" s="72"/>
      <c r="JB1" s="72"/>
      <c r="JC1" s="72"/>
      <c r="JD1" s="72"/>
      <c r="JE1" s="72"/>
      <c r="JF1" s="72"/>
      <c r="JG1" s="72"/>
      <c r="JH1" s="72"/>
      <c r="JI1" s="72"/>
      <c r="JJ1" s="72"/>
      <c r="JK1" s="72"/>
      <c r="JL1" s="72"/>
      <c r="JM1" s="72"/>
      <c r="JN1" s="72"/>
      <c r="JO1" s="72"/>
      <c r="JP1" s="72"/>
      <c r="JQ1" s="72"/>
      <c r="JR1" s="72"/>
      <c r="JS1" s="72"/>
      <c r="JT1" s="72"/>
      <c r="JU1" s="72"/>
      <c r="JV1" s="72"/>
      <c r="JW1" s="72"/>
      <c r="JX1" s="72"/>
      <c r="JY1" s="72"/>
      <c r="JZ1" s="72"/>
      <c r="KA1" s="72"/>
      <c r="KB1" s="72"/>
      <c r="KC1" s="72"/>
      <c r="KD1" s="72"/>
      <c r="KE1" s="72"/>
      <c r="KF1" s="72"/>
      <c r="KG1" s="72"/>
      <c r="KH1" s="72"/>
      <c r="KI1" s="72"/>
      <c r="KJ1" s="72"/>
      <c r="KK1" s="72"/>
      <c r="KL1" s="72"/>
      <c r="KM1" s="72"/>
      <c r="KN1" s="72"/>
      <c r="KO1" s="72"/>
      <c r="KP1" s="72"/>
      <c r="KQ1" s="72"/>
      <c r="KR1" s="72"/>
      <c r="KS1" s="72"/>
      <c r="KT1" s="72"/>
      <c r="KU1" s="72"/>
      <c r="KV1" s="72"/>
      <c r="KW1" s="72"/>
      <c r="KX1" s="72"/>
      <c r="KY1" s="72"/>
      <c r="KZ1" s="72"/>
      <c r="LA1" s="72"/>
      <c r="LB1" s="72"/>
      <c r="LC1" s="72"/>
      <c r="LD1" s="72"/>
      <c r="LE1" s="72"/>
      <c r="LF1" s="72"/>
      <c r="LG1" s="72"/>
      <c r="LH1" s="72"/>
      <c r="LI1" s="72"/>
      <c r="LJ1" s="72"/>
      <c r="LK1" s="72"/>
      <c r="LL1" s="72"/>
      <c r="LM1" s="72"/>
      <c r="LN1" s="72"/>
      <c r="LO1" s="72"/>
      <c r="LP1" s="72"/>
      <c r="LQ1" s="72"/>
      <c r="LR1" s="72"/>
      <c r="LS1" s="72"/>
      <c r="LT1" s="72"/>
      <c r="LU1" s="72"/>
      <c r="LV1" s="72"/>
      <c r="LW1" s="72"/>
      <c r="LX1" s="72"/>
      <c r="LY1" s="72"/>
      <c r="LZ1" s="72"/>
      <c r="MA1" s="72"/>
      <c r="MB1" s="72"/>
      <c r="MC1" s="72"/>
      <c r="MD1" s="72"/>
      <c r="ME1" s="72"/>
      <c r="MF1" s="72"/>
      <c r="MG1" s="72"/>
      <c r="MH1" s="72"/>
      <c r="MI1" s="72"/>
      <c r="MJ1" s="72"/>
      <c r="MK1" s="72"/>
      <c r="ML1" s="72"/>
      <c r="MM1" s="72"/>
      <c r="MN1" s="72"/>
      <c r="MO1" s="72"/>
      <c r="MP1" s="72"/>
      <c r="MQ1" s="72"/>
      <c r="MR1" s="72"/>
      <c r="MS1" s="72"/>
      <c r="MT1" s="72"/>
      <c r="MU1" s="72"/>
      <c r="MV1" s="72"/>
      <c r="MW1" s="72"/>
      <c r="MX1" s="72"/>
      <c r="MY1" s="72"/>
      <c r="MZ1" s="72"/>
      <c r="NA1" s="72"/>
      <c r="NB1" s="72"/>
      <c r="NC1" s="72"/>
      <c r="ND1" s="72"/>
      <c r="NE1" s="72"/>
      <c r="NF1" s="72"/>
      <c r="NG1" s="72"/>
      <c r="NH1" s="72"/>
      <c r="NI1" s="72"/>
      <c r="NJ1" s="72"/>
      <c r="NK1" s="72"/>
      <c r="NL1" s="72"/>
      <c r="NM1" s="72"/>
      <c r="NN1" s="72"/>
      <c r="NO1" s="72"/>
      <c r="NP1" s="72"/>
      <c r="NQ1" s="72"/>
      <c r="NR1" s="72"/>
      <c r="NS1" s="72"/>
      <c r="NT1" s="72"/>
      <c r="NU1" s="72"/>
      <c r="NV1" s="72"/>
      <c r="NW1" s="72"/>
      <c r="NX1" s="72"/>
      <c r="NY1" s="72"/>
      <c r="NZ1" s="72"/>
      <c r="OA1" s="72"/>
      <c r="OB1" s="72"/>
      <c r="OC1" s="72"/>
      <c r="OD1" s="72"/>
      <c r="OE1" s="72"/>
      <c r="OF1" s="72"/>
      <c r="OG1" s="72"/>
    </row>
    <row r="2" spans="1:397" s="71" customFormat="1" ht="20.25">
      <c r="A2" s="73" t="s">
        <v>37</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c r="IS2" s="72"/>
      <c r="IT2" s="72"/>
      <c r="IU2" s="72"/>
      <c r="IV2" s="72"/>
      <c r="IW2" s="72"/>
      <c r="IX2" s="72"/>
      <c r="IY2" s="72"/>
      <c r="IZ2" s="72"/>
      <c r="JA2" s="72"/>
      <c r="JB2" s="72"/>
      <c r="JC2" s="72"/>
      <c r="JD2" s="72"/>
      <c r="JE2" s="72"/>
      <c r="JF2" s="72"/>
      <c r="JG2" s="72"/>
      <c r="JH2" s="72"/>
      <c r="JI2" s="72"/>
      <c r="JJ2" s="72"/>
      <c r="JK2" s="72"/>
      <c r="JL2" s="72"/>
      <c r="JM2" s="72"/>
      <c r="JN2" s="72"/>
      <c r="JO2" s="72"/>
      <c r="JP2" s="72"/>
      <c r="JQ2" s="72"/>
      <c r="JR2" s="72"/>
      <c r="JS2" s="72"/>
      <c r="JT2" s="72"/>
      <c r="JU2" s="72"/>
      <c r="JV2" s="72"/>
      <c r="JW2" s="72"/>
      <c r="JX2" s="72"/>
      <c r="JY2" s="72"/>
      <c r="JZ2" s="72"/>
      <c r="KA2" s="72"/>
      <c r="KB2" s="72"/>
      <c r="KC2" s="72"/>
      <c r="KD2" s="72"/>
      <c r="KE2" s="72"/>
      <c r="KF2" s="72"/>
      <c r="KG2" s="72"/>
      <c r="KH2" s="72"/>
      <c r="KI2" s="72"/>
      <c r="KJ2" s="72"/>
      <c r="KK2" s="72"/>
      <c r="KL2" s="72"/>
      <c r="KM2" s="72"/>
      <c r="KN2" s="72"/>
      <c r="KO2" s="72"/>
      <c r="KP2" s="72"/>
      <c r="KQ2" s="72"/>
      <c r="KR2" s="72"/>
      <c r="KS2" s="72"/>
      <c r="KT2" s="72"/>
      <c r="KU2" s="72"/>
      <c r="KV2" s="72"/>
      <c r="KW2" s="72"/>
      <c r="KX2" s="72"/>
      <c r="KY2" s="72"/>
      <c r="KZ2" s="72"/>
      <c r="LA2" s="72"/>
      <c r="LB2" s="72"/>
      <c r="LC2" s="72"/>
      <c r="LD2" s="72"/>
      <c r="LE2" s="72"/>
      <c r="LF2" s="72"/>
      <c r="LG2" s="72"/>
      <c r="LH2" s="72"/>
      <c r="LI2" s="72"/>
      <c r="LJ2" s="72"/>
      <c r="LK2" s="72"/>
      <c r="LL2" s="72"/>
      <c r="LM2" s="72"/>
      <c r="LN2" s="72"/>
      <c r="LO2" s="72"/>
      <c r="LP2" s="72"/>
      <c r="LQ2" s="72"/>
      <c r="LR2" s="72"/>
      <c r="LS2" s="72"/>
      <c r="LT2" s="72"/>
      <c r="LU2" s="72"/>
      <c r="LV2" s="72"/>
      <c r="LW2" s="72"/>
      <c r="LX2" s="72"/>
      <c r="LY2" s="72"/>
      <c r="LZ2" s="72"/>
      <c r="MA2" s="72"/>
      <c r="MB2" s="72"/>
      <c r="MC2" s="72"/>
      <c r="MD2" s="72"/>
      <c r="ME2" s="72"/>
      <c r="MF2" s="72"/>
      <c r="MG2" s="72"/>
      <c r="MH2" s="72"/>
      <c r="MI2" s="72"/>
      <c r="MJ2" s="72"/>
      <c r="MK2" s="72"/>
      <c r="ML2" s="72"/>
      <c r="MM2" s="72"/>
      <c r="MN2" s="72"/>
      <c r="MO2" s="72"/>
      <c r="MP2" s="72"/>
      <c r="MQ2" s="72"/>
      <c r="MR2" s="72"/>
      <c r="MS2" s="72"/>
      <c r="MT2" s="72"/>
      <c r="MU2" s="72"/>
      <c r="MV2" s="72"/>
      <c r="MW2" s="72"/>
      <c r="MX2" s="72"/>
      <c r="MY2" s="72"/>
      <c r="MZ2" s="72"/>
      <c r="NA2" s="72"/>
      <c r="NB2" s="72"/>
      <c r="NC2" s="72"/>
      <c r="ND2" s="72"/>
      <c r="NE2" s="72"/>
      <c r="NF2" s="72"/>
      <c r="NG2" s="72"/>
      <c r="NH2" s="72"/>
      <c r="NI2" s="72"/>
      <c r="NJ2" s="72"/>
      <c r="NK2" s="72"/>
      <c r="NL2" s="72"/>
      <c r="NM2" s="72"/>
      <c r="NN2" s="72"/>
      <c r="NO2" s="72"/>
      <c r="NP2" s="72"/>
      <c r="NQ2" s="72"/>
      <c r="NR2" s="72"/>
      <c r="NS2" s="72"/>
      <c r="NT2" s="72"/>
      <c r="NU2" s="72"/>
      <c r="NV2" s="72"/>
      <c r="NW2" s="72"/>
      <c r="NX2" s="72"/>
      <c r="NY2" s="72"/>
      <c r="NZ2" s="72"/>
      <c r="OA2" s="72"/>
      <c r="OB2" s="72"/>
      <c r="OC2" s="72"/>
      <c r="OD2" s="72"/>
      <c r="OE2" s="72"/>
      <c r="OF2" s="72"/>
      <c r="OG2" s="72"/>
    </row>
    <row r="3" spans="1:397" s="75" customFormat="1" ht="15.75" outlineLevel="1">
      <c r="A3" s="272" t="s">
        <v>38</v>
      </c>
      <c r="B3" s="273"/>
      <c r="C3" s="273"/>
      <c r="D3" s="274"/>
      <c r="F3" s="284" t="s">
        <v>39</v>
      </c>
      <c r="G3" s="285"/>
      <c r="H3" s="285"/>
      <c r="I3" s="285"/>
      <c r="J3" s="285"/>
      <c r="K3" s="285"/>
      <c r="L3" s="285"/>
      <c r="M3" s="285"/>
      <c r="N3" s="285"/>
      <c r="O3" s="285"/>
      <c r="P3" s="286"/>
    </row>
    <row r="4" spans="1:397" s="75" customFormat="1" ht="15.75" outlineLevel="1">
      <c r="A4" s="76">
        <v>2204.62</v>
      </c>
      <c r="B4" s="77" t="s">
        <v>40</v>
      </c>
      <c r="C4" s="78">
        <v>1</v>
      </c>
      <c r="D4" s="77" t="s">
        <v>41</v>
      </c>
      <c r="E4" s="79"/>
      <c r="F4" s="80" t="s">
        <v>42</v>
      </c>
      <c r="G4" s="80" t="s">
        <v>43</v>
      </c>
      <c r="H4" s="80" t="s">
        <v>44</v>
      </c>
      <c r="I4" s="287" t="s">
        <v>45</v>
      </c>
      <c r="J4" s="288"/>
      <c r="K4" s="288"/>
      <c r="L4" s="288"/>
      <c r="M4" s="288"/>
      <c r="N4" s="288"/>
      <c r="O4" s="288"/>
      <c r="P4" s="289"/>
    </row>
    <row r="5" spans="1:397" s="75" customFormat="1" ht="18.75" outlineLevel="1">
      <c r="A5" s="81">
        <v>1000</v>
      </c>
      <c r="B5" s="77" t="s">
        <v>46</v>
      </c>
      <c r="C5" s="78">
        <v>1</v>
      </c>
      <c r="D5" s="77" t="s">
        <v>47</v>
      </c>
      <c r="F5" s="77" t="s">
        <v>48</v>
      </c>
      <c r="G5" s="82" t="s">
        <v>194</v>
      </c>
      <c r="H5" s="82">
        <v>1</v>
      </c>
      <c r="I5" s="275" t="s">
        <v>102</v>
      </c>
      <c r="J5" s="276"/>
      <c r="K5" s="276"/>
      <c r="L5" s="276"/>
      <c r="M5" s="276"/>
      <c r="N5" s="276"/>
      <c r="O5" s="276"/>
      <c r="P5" s="277"/>
    </row>
    <row r="6" spans="1:397" s="75" customFormat="1" ht="18.75" outlineLevel="1">
      <c r="A6" s="83">
        <v>1000000</v>
      </c>
      <c r="B6" s="82" t="s">
        <v>179</v>
      </c>
      <c r="C6" s="84">
        <v>1</v>
      </c>
      <c r="D6" s="82" t="s">
        <v>41</v>
      </c>
      <c r="F6" s="77" t="s">
        <v>49</v>
      </c>
      <c r="G6" s="82" t="s">
        <v>195</v>
      </c>
      <c r="H6" s="85">
        <v>29.8</v>
      </c>
      <c r="I6" s="278"/>
      <c r="J6" s="279"/>
      <c r="K6" s="279"/>
      <c r="L6" s="279"/>
      <c r="M6" s="279"/>
      <c r="N6" s="279"/>
      <c r="O6" s="279"/>
      <c r="P6" s="280"/>
    </row>
    <row r="7" spans="1:397" s="75" customFormat="1" ht="18.75" outlineLevel="1">
      <c r="A7" s="83">
        <v>2000</v>
      </c>
      <c r="B7" s="82" t="s">
        <v>40</v>
      </c>
      <c r="C7" s="84">
        <v>1</v>
      </c>
      <c r="D7" s="82" t="s">
        <v>232</v>
      </c>
      <c r="F7" s="77" t="s">
        <v>50</v>
      </c>
      <c r="G7" s="82" t="s">
        <v>196</v>
      </c>
      <c r="H7" s="85">
        <v>273</v>
      </c>
      <c r="I7" s="281"/>
      <c r="J7" s="282"/>
      <c r="K7" s="282"/>
      <c r="L7" s="282"/>
      <c r="M7" s="282"/>
      <c r="N7" s="282"/>
      <c r="O7" s="282"/>
      <c r="P7" s="283"/>
    </row>
    <row r="8" spans="1:397" s="75" customFormat="1" ht="14.25" outlineLevel="1">
      <c r="A8" s="86"/>
      <c r="B8" s="87"/>
      <c r="C8" s="88"/>
      <c r="D8" s="87"/>
      <c r="F8" s="233"/>
      <c r="G8" s="226"/>
      <c r="H8" s="226"/>
      <c r="I8" s="226"/>
      <c r="J8" s="226"/>
      <c r="K8" s="226"/>
      <c r="L8" s="226"/>
      <c r="M8" s="226"/>
      <c r="N8" s="226"/>
      <c r="O8" s="226"/>
      <c r="P8" s="226"/>
    </row>
    <row r="9" spans="1:397" s="71" customFormat="1" ht="20.25">
      <c r="A9" s="73" t="s">
        <v>51</v>
      </c>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2"/>
      <c r="NI9" s="72"/>
      <c r="NJ9" s="72"/>
      <c r="NK9" s="72"/>
      <c r="NL9" s="72"/>
      <c r="NM9" s="72"/>
      <c r="NN9" s="72"/>
      <c r="NO9" s="72"/>
      <c r="NP9" s="72"/>
      <c r="NQ9" s="72"/>
      <c r="NR9" s="72"/>
      <c r="NS9" s="72"/>
      <c r="NT9" s="72"/>
      <c r="NU9" s="72"/>
      <c r="NV9" s="72"/>
      <c r="NW9" s="72"/>
      <c r="NX9" s="72"/>
      <c r="NY9" s="72"/>
      <c r="NZ9" s="72"/>
      <c r="OA9" s="72"/>
      <c r="OB9" s="72"/>
      <c r="OC9" s="72"/>
      <c r="OD9" s="72"/>
      <c r="OE9" s="72"/>
      <c r="OF9" s="72"/>
      <c r="OG9" s="72"/>
    </row>
    <row r="10" spans="1:397" s="71" customFormat="1" ht="48" customHeight="1" outlineLevel="2">
      <c r="A10" s="263" t="s">
        <v>93</v>
      </c>
      <c r="B10" s="263"/>
      <c r="C10" s="263"/>
      <c r="D10" s="263"/>
      <c r="E10" s="263"/>
      <c r="F10" s="263"/>
      <c r="G10" s="263"/>
      <c r="H10" s="263"/>
      <c r="I10" s="263"/>
      <c r="J10" s="263"/>
      <c r="K10" s="263"/>
      <c r="L10" s="263"/>
      <c r="M10" s="263"/>
      <c r="N10" s="263"/>
      <c r="O10" s="263"/>
      <c r="P10" s="263"/>
      <c r="Q10" s="263"/>
      <c r="R10" s="263"/>
      <c r="S10" s="263"/>
      <c r="T10" s="263"/>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c r="IW10" s="72"/>
      <c r="IX10" s="72"/>
      <c r="IY10" s="72"/>
      <c r="IZ10" s="72"/>
      <c r="JA10" s="72"/>
      <c r="JB10" s="72"/>
      <c r="JC10" s="72"/>
      <c r="JD10" s="72"/>
      <c r="JE10" s="72"/>
      <c r="JF10" s="72"/>
      <c r="JG10" s="72"/>
      <c r="JH10" s="72"/>
      <c r="JI10" s="72"/>
      <c r="JJ10" s="72"/>
      <c r="JK10" s="72"/>
      <c r="JL10" s="72"/>
      <c r="JM10" s="72"/>
      <c r="JN10" s="72"/>
      <c r="JO10" s="72"/>
      <c r="JP10" s="72"/>
      <c r="JQ10" s="72"/>
      <c r="JR10" s="72"/>
      <c r="JS10" s="72"/>
      <c r="JT10" s="72"/>
      <c r="JU10" s="72"/>
      <c r="JV10" s="72"/>
      <c r="JW10" s="72"/>
      <c r="JX10" s="72"/>
      <c r="JY10" s="72"/>
      <c r="JZ10" s="72"/>
      <c r="KA10" s="72"/>
      <c r="KB10" s="72"/>
      <c r="KC10" s="72"/>
      <c r="KD10" s="72"/>
      <c r="KE10" s="72"/>
      <c r="KF10" s="72"/>
      <c r="KG10" s="72"/>
      <c r="KH10" s="72"/>
      <c r="KI10" s="72"/>
      <c r="KJ10" s="72"/>
      <c r="KK10" s="72"/>
      <c r="KL10" s="72"/>
      <c r="KM10" s="72"/>
      <c r="KN10" s="72"/>
      <c r="KO10" s="72"/>
      <c r="KP10" s="72"/>
      <c r="KQ10" s="72"/>
      <c r="KR10" s="72"/>
      <c r="KS10" s="72"/>
      <c r="KT10" s="72"/>
      <c r="KU10" s="72"/>
      <c r="KV10" s="72"/>
      <c r="KW10" s="72"/>
      <c r="KX10" s="72"/>
      <c r="KY10" s="72"/>
      <c r="KZ10" s="72"/>
      <c r="LA10" s="72"/>
      <c r="LB10" s="72"/>
      <c r="LC10" s="72"/>
      <c r="LD10" s="72"/>
      <c r="LE10" s="72"/>
      <c r="LF10" s="72"/>
      <c r="LG10" s="72"/>
      <c r="LH10" s="72"/>
      <c r="LI10" s="72"/>
      <c r="LJ10" s="72"/>
      <c r="LK10" s="72"/>
      <c r="LL10" s="72"/>
      <c r="LM10" s="72"/>
      <c r="LN10" s="72"/>
      <c r="LO10" s="72"/>
      <c r="LP10" s="72"/>
      <c r="LQ10" s="72"/>
      <c r="LR10" s="72"/>
      <c r="LS10" s="72"/>
      <c r="LT10" s="72"/>
      <c r="LU10" s="72"/>
      <c r="LV10" s="72"/>
      <c r="LW10" s="72"/>
      <c r="LX10" s="72"/>
      <c r="LY10" s="72"/>
      <c r="LZ10" s="72"/>
      <c r="MA10" s="72"/>
      <c r="MB10" s="72"/>
      <c r="MC10" s="72"/>
      <c r="MD10" s="72"/>
      <c r="ME10" s="72"/>
      <c r="MF10" s="72"/>
      <c r="MG10" s="72"/>
      <c r="MH10" s="72"/>
      <c r="MI10" s="72"/>
      <c r="MJ10" s="72"/>
      <c r="MK10" s="72"/>
      <c r="ML10" s="72"/>
      <c r="MM10" s="72"/>
      <c r="MN10" s="72"/>
      <c r="MO10" s="72"/>
      <c r="MP10" s="72"/>
      <c r="MQ10" s="72"/>
      <c r="MR10" s="72"/>
      <c r="MS10" s="72"/>
      <c r="MT10" s="72"/>
      <c r="MU10" s="72"/>
      <c r="MV10" s="72"/>
      <c r="MW10" s="72"/>
      <c r="MX10" s="72"/>
      <c r="MY10" s="72"/>
      <c r="MZ10" s="72"/>
      <c r="NA10" s="72"/>
      <c r="NB10" s="72"/>
      <c r="NC10" s="72"/>
      <c r="ND10" s="72"/>
      <c r="NE10" s="72"/>
      <c r="NF10" s="72"/>
      <c r="NG10" s="72"/>
      <c r="NH10" s="72"/>
      <c r="NI10" s="72"/>
      <c r="NJ10" s="72"/>
      <c r="NK10" s="72"/>
      <c r="NL10" s="72"/>
      <c r="NM10" s="72"/>
      <c r="NN10" s="72"/>
      <c r="NO10" s="72"/>
      <c r="NP10" s="72"/>
      <c r="NQ10" s="72"/>
      <c r="NR10" s="72"/>
      <c r="NS10" s="72"/>
      <c r="NT10" s="72"/>
      <c r="NU10" s="72"/>
      <c r="NV10" s="72"/>
      <c r="NW10" s="72"/>
      <c r="NX10" s="72"/>
      <c r="NY10" s="72"/>
      <c r="NZ10" s="72"/>
      <c r="OA10" s="72"/>
      <c r="OB10" s="72"/>
      <c r="OC10" s="72"/>
      <c r="OD10" s="72"/>
      <c r="OE10" s="72"/>
      <c r="OF10" s="72"/>
      <c r="OG10" s="72"/>
    </row>
    <row r="11" spans="1:397" s="71" customFormat="1" ht="74.45" customHeight="1" outlineLevel="2">
      <c r="A11" s="263" t="s">
        <v>200</v>
      </c>
      <c r="B11" s="263"/>
      <c r="C11" s="263"/>
      <c r="D11" s="263"/>
      <c r="E11" s="263"/>
      <c r="F11" s="263"/>
      <c r="G11" s="263"/>
      <c r="H11" s="263"/>
      <c r="I11" s="263"/>
      <c r="J11" s="263"/>
      <c r="K11" s="263"/>
      <c r="L11" s="263"/>
      <c r="M11" s="263"/>
      <c r="N11" s="263"/>
      <c r="O11" s="263"/>
      <c r="P11" s="263"/>
      <c r="Q11" s="263"/>
      <c r="R11" s="263"/>
      <c r="S11" s="263"/>
      <c r="T11" s="263"/>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2"/>
      <c r="JW11" s="72"/>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2"/>
      <c r="LP11" s="72"/>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2"/>
      <c r="NI11" s="72"/>
      <c r="NJ11" s="72"/>
      <c r="NK11" s="72"/>
      <c r="NL11" s="72"/>
      <c r="NM11" s="72"/>
      <c r="NN11" s="72"/>
      <c r="NO11" s="72"/>
      <c r="NP11" s="72"/>
      <c r="NQ11" s="72"/>
      <c r="NR11" s="72"/>
      <c r="NS11" s="72"/>
      <c r="NT11" s="72"/>
      <c r="NU11" s="72"/>
      <c r="NV11" s="72"/>
      <c r="NW11" s="72"/>
      <c r="NX11" s="72"/>
      <c r="NY11" s="72"/>
      <c r="NZ11" s="72"/>
      <c r="OA11" s="72"/>
      <c r="OB11" s="72"/>
      <c r="OC11" s="72"/>
      <c r="OD11" s="72"/>
      <c r="OE11" s="72"/>
      <c r="OF11" s="72"/>
      <c r="OG11" s="72"/>
    </row>
    <row r="12" spans="1:397" s="71" customFormat="1" outlineLevel="2">
      <c r="A12" s="263" t="s">
        <v>94</v>
      </c>
      <c r="B12" s="263"/>
      <c r="C12" s="263"/>
      <c r="D12" s="263"/>
      <c r="E12" s="263"/>
      <c r="F12" s="263"/>
      <c r="G12" s="263"/>
      <c r="H12" s="263"/>
      <c r="I12" s="263"/>
      <c r="J12" s="263"/>
      <c r="K12" s="263"/>
      <c r="L12" s="263"/>
      <c r="M12" s="263"/>
      <c r="N12" s="263"/>
      <c r="O12" s="263"/>
      <c r="P12" s="263"/>
      <c r="Q12" s="263"/>
      <c r="R12" s="263"/>
      <c r="S12" s="263"/>
      <c r="T12" s="263"/>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c r="IR12" s="72"/>
      <c r="IS12" s="72"/>
      <c r="IT12" s="72"/>
      <c r="IU12" s="72"/>
      <c r="IV12" s="72"/>
      <c r="IW12" s="72"/>
      <c r="IX12" s="72"/>
      <c r="IY12" s="72"/>
      <c r="IZ12" s="72"/>
      <c r="JA12" s="72"/>
      <c r="JB12" s="72"/>
      <c r="JC12" s="72"/>
      <c r="JD12" s="72"/>
      <c r="JE12" s="72"/>
      <c r="JF12" s="72"/>
      <c r="JG12" s="72"/>
      <c r="JH12" s="72"/>
      <c r="JI12" s="72"/>
      <c r="JJ12" s="72"/>
      <c r="JK12" s="72"/>
      <c r="JL12" s="72"/>
      <c r="JM12" s="72"/>
      <c r="JN12" s="72"/>
      <c r="JO12" s="72"/>
      <c r="JP12" s="72"/>
      <c r="JQ12" s="72"/>
      <c r="JR12" s="72"/>
      <c r="JS12" s="72"/>
      <c r="JT12" s="72"/>
      <c r="JU12" s="72"/>
      <c r="JV12" s="72"/>
      <c r="JW12" s="72"/>
      <c r="JX12" s="72"/>
      <c r="JY12" s="72"/>
      <c r="JZ12" s="72"/>
      <c r="KA12" s="72"/>
      <c r="KB12" s="72"/>
      <c r="KC12" s="72"/>
      <c r="KD12" s="72"/>
      <c r="KE12" s="72"/>
      <c r="KF12" s="72"/>
      <c r="KG12" s="72"/>
      <c r="KH12" s="72"/>
      <c r="KI12" s="72"/>
      <c r="KJ12" s="72"/>
      <c r="KK12" s="72"/>
      <c r="KL12" s="72"/>
      <c r="KM12" s="72"/>
      <c r="KN12" s="72"/>
      <c r="KO12" s="72"/>
      <c r="KP12" s="72"/>
      <c r="KQ12" s="72"/>
      <c r="KR12" s="72"/>
      <c r="KS12" s="72"/>
      <c r="KT12" s="72"/>
      <c r="KU12" s="72"/>
      <c r="KV12" s="72"/>
      <c r="KW12" s="72"/>
      <c r="KX12" s="72"/>
      <c r="KY12" s="72"/>
      <c r="KZ12" s="72"/>
      <c r="LA12" s="72"/>
      <c r="LB12" s="72"/>
      <c r="LC12" s="72"/>
      <c r="LD12" s="72"/>
      <c r="LE12" s="72"/>
      <c r="LF12" s="72"/>
      <c r="LG12" s="72"/>
      <c r="LH12" s="72"/>
      <c r="LI12" s="72"/>
      <c r="LJ12" s="72"/>
      <c r="LK12" s="72"/>
      <c r="LL12" s="72"/>
      <c r="LM12" s="72"/>
      <c r="LN12" s="72"/>
      <c r="LO12" s="72"/>
      <c r="LP12" s="72"/>
      <c r="LQ12" s="72"/>
      <c r="LR12" s="72"/>
      <c r="LS12" s="72"/>
      <c r="LT12" s="72"/>
      <c r="LU12" s="72"/>
      <c r="LV12" s="72"/>
      <c r="LW12" s="72"/>
      <c r="LX12" s="72"/>
      <c r="LY12" s="72"/>
      <c r="LZ12" s="72"/>
      <c r="MA12" s="72"/>
      <c r="MB12" s="72"/>
      <c r="MC12" s="72"/>
      <c r="MD12" s="72"/>
      <c r="ME12" s="72"/>
      <c r="MF12" s="72"/>
      <c r="MG12" s="72"/>
      <c r="MH12" s="72"/>
      <c r="MI12" s="72"/>
      <c r="MJ12" s="72"/>
      <c r="MK12" s="72"/>
      <c r="ML12" s="72"/>
      <c r="MM12" s="72"/>
      <c r="MN12" s="72"/>
      <c r="MO12" s="72"/>
      <c r="MP12" s="72"/>
      <c r="MQ12" s="72"/>
      <c r="MR12" s="72"/>
      <c r="MS12" s="72"/>
      <c r="MT12" s="72"/>
      <c r="MU12" s="72"/>
      <c r="MV12" s="72"/>
      <c r="MW12" s="72"/>
      <c r="MX12" s="72"/>
      <c r="MY12" s="72"/>
      <c r="MZ12" s="72"/>
      <c r="NA12" s="72"/>
      <c r="NB12" s="72"/>
      <c r="NC12" s="72"/>
      <c r="ND12" s="72"/>
      <c r="NE12" s="72"/>
      <c r="NF12" s="72"/>
      <c r="NG12" s="72"/>
      <c r="NH12" s="72"/>
      <c r="NI12" s="72"/>
      <c r="NJ12" s="72"/>
      <c r="NK12" s="72"/>
      <c r="NL12" s="72"/>
      <c r="NM12" s="72"/>
      <c r="NN12" s="72"/>
      <c r="NO12" s="72"/>
      <c r="NP12" s="72"/>
      <c r="NQ12" s="72"/>
      <c r="NR12" s="72"/>
      <c r="NS12" s="72"/>
      <c r="NT12" s="72"/>
      <c r="NU12" s="72"/>
      <c r="NV12" s="72"/>
      <c r="NW12" s="72"/>
      <c r="NX12" s="72"/>
      <c r="NY12" s="72"/>
      <c r="NZ12" s="72"/>
      <c r="OA12" s="72"/>
      <c r="OB12" s="72"/>
      <c r="OC12" s="72"/>
      <c r="OD12" s="72"/>
      <c r="OE12" s="72"/>
      <c r="OF12" s="72"/>
      <c r="OG12" s="72"/>
    </row>
    <row r="13" spans="1:397" s="71" customFormat="1" outlineLevel="2">
      <c r="A13" s="263" t="s">
        <v>95</v>
      </c>
      <c r="B13" s="263"/>
      <c r="C13" s="263"/>
      <c r="D13" s="263"/>
      <c r="E13" s="263"/>
      <c r="F13" s="263"/>
      <c r="G13" s="263"/>
      <c r="H13" s="263"/>
      <c r="I13" s="263"/>
      <c r="J13" s="263"/>
      <c r="K13" s="263"/>
      <c r="L13" s="263"/>
      <c r="M13" s="263"/>
      <c r="N13" s="263"/>
      <c r="O13" s="263"/>
      <c r="P13" s="263"/>
      <c r="Q13" s="263"/>
      <c r="R13" s="263"/>
      <c r="S13" s="263"/>
      <c r="T13" s="263"/>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c r="IN13" s="72"/>
      <c r="IO13" s="72"/>
      <c r="IP13" s="72"/>
      <c r="IQ13" s="72"/>
      <c r="IR13" s="72"/>
      <c r="IS13" s="72"/>
      <c r="IT13" s="72"/>
      <c r="IU13" s="72"/>
      <c r="IV13" s="72"/>
      <c r="IW13" s="72"/>
      <c r="IX13" s="72"/>
      <c r="IY13" s="72"/>
      <c r="IZ13" s="72"/>
      <c r="JA13" s="72"/>
      <c r="JB13" s="72"/>
      <c r="JC13" s="72"/>
      <c r="JD13" s="72"/>
      <c r="JE13" s="72"/>
      <c r="JF13" s="72"/>
      <c r="JG13" s="72"/>
      <c r="JH13" s="72"/>
      <c r="JI13" s="72"/>
      <c r="JJ13" s="72"/>
      <c r="JK13" s="72"/>
      <c r="JL13" s="72"/>
      <c r="JM13" s="72"/>
      <c r="JN13" s="72"/>
      <c r="JO13" s="72"/>
      <c r="JP13" s="72"/>
      <c r="JQ13" s="72"/>
      <c r="JR13" s="72"/>
      <c r="JS13" s="72"/>
      <c r="JT13" s="72"/>
      <c r="JU13" s="72"/>
      <c r="JV13" s="72"/>
      <c r="JW13" s="72"/>
      <c r="JX13" s="72"/>
      <c r="JY13" s="72"/>
      <c r="JZ13" s="72"/>
      <c r="KA13" s="72"/>
      <c r="KB13" s="72"/>
      <c r="KC13" s="72"/>
      <c r="KD13" s="72"/>
      <c r="KE13" s="72"/>
      <c r="KF13" s="72"/>
      <c r="KG13" s="72"/>
      <c r="KH13" s="72"/>
      <c r="KI13" s="72"/>
      <c r="KJ13" s="72"/>
      <c r="KK13" s="72"/>
      <c r="KL13" s="72"/>
      <c r="KM13" s="72"/>
      <c r="KN13" s="72"/>
      <c r="KO13" s="72"/>
      <c r="KP13" s="72"/>
      <c r="KQ13" s="72"/>
      <c r="KR13" s="72"/>
      <c r="KS13" s="72"/>
      <c r="KT13" s="72"/>
      <c r="KU13" s="72"/>
      <c r="KV13" s="72"/>
      <c r="KW13" s="72"/>
      <c r="KX13" s="72"/>
      <c r="KY13" s="72"/>
      <c r="KZ13" s="72"/>
      <c r="LA13" s="72"/>
      <c r="LB13" s="72"/>
      <c r="LC13" s="72"/>
      <c r="LD13" s="72"/>
      <c r="LE13" s="72"/>
      <c r="LF13" s="72"/>
      <c r="LG13" s="72"/>
      <c r="LH13" s="72"/>
      <c r="LI13" s="72"/>
      <c r="LJ13" s="72"/>
      <c r="LK13" s="72"/>
      <c r="LL13" s="72"/>
      <c r="LM13" s="72"/>
      <c r="LN13" s="72"/>
      <c r="LO13" s="72"/>
      <c r="LP13" s="72"/>
      <c r="LQ13" s="72"/>
      <c r="LR13" s="72"/>
      <c r="LS13" s="72"/>
      <c r="LT13" s="72"/>
      <c r="LU13" s="72"/>
      <c r="LV13" s="72"/>
      <c r="LW13" s="72"/>
      <c r="LX13" s="72"/>
      <c r="LY13" s="72"/>
      <c r="LZ13" s="72"/>
      <c r="MA13" s="72"/>
      <c r="MB13" s="72"/>
      <c r="MC13" s="72"/>
      <c r="MD13" s="72"/>
      <c r="ME13" s="72"/>
      <c r="MF13" s="72"/>
      <c r="MG13" s="72"/>
      <c r="MH13" s="72"/>
      <c r="MI13" s="72"/>
      <c r="MJ13" s="72"/>
      <c r="MK13" s="72"/>
      <c r="ML13" s="72"/>
      <c r="MM13" s="72"/>
      <c r="MN13" s="72"/>
      <c r="MO13" s="72"/>
      <c r="MP13" s="72"/>
      <c r="MQ13" s="72"/>
      <c r="MR13" s="72"/>
      <c r="MS13" s="72"/>
      <c r="MT13" s="72"/>
      <c r="MU13" s="72"/>
      <c r="MV13" s="72"/>
      <c r="MW13" s="72"/>
      <c r="MX13" s="72"/>
      <c r="MY13" s="72"/>
      <c r="MZ13" s="72"/>
      <c r="NA13" s="72"/>
      <c r="NB13" s="72"/>
      <c r="NC13" s="72"/>
      <c r="ND13" s="72"/>
      <c r="NE13" s="72"/>
      <c r="NF13" s="72"/>
      <c r="NG13" s="72"/>
      <c r="NH13" s="72"/>
      <c r="NI13" s="72"/>
      <c r="NJ13" s="72"/>
      <c r="NK13" s="72"/>
      <c r="NL13" s="72"/>
      <c r="NM13" s="72"/>
      <c r="NN13" s="72"/>
      <c r="NO13" s="72"/>
      <c r="NP13" s="72"/>
      <c r="NQ13" s="72"/>
      <c r="NR13" s="72"/>
      <c r="NS13" s="72"/>
      <c r="NT13" s="72"/>
      <c r="NU13" s="72"/>
      <c r="NV13" s="72"/>
      <c r="NW13" s="72"/>
      <c r="NX13" s="72"/>
      <c r="NY13" s="72"/>
      <c r="NZ13" s="72"/>
      <c r="OA13" s="72"/>
      <c r="OB13" s="72"/>
      <c r="OC13" s="72"/>
      <c r="OD13" s="72"/>
      <c r="OE13" s="72"/>
      <c r="OF13" s="72"/>
      <c r="OG13" s="72"/>
    </row>
    <row r="14" spans="1:397" s="71" customFormat="1" ht="65.650000000000006" customHeight="1" outlineLevel="2">
      <c r="A14" s="263" t="s">
        <v>97</v>
      </c>
      <c r="B14" s="263"/>
      <c r="C14" s="263"/>
      <c r="D14" s="263"/>
      <c r="E14" s="263"/>
      <c r="F14" s="263"/>
      <c r="G14" s="263"/>
      <c r="H14" s="263"/>
      <c r="I14" s="263"/>
      <c r="J14" s="263"/>
      <c r="K14" s="263"/>
      <c r="L14" s="263"/>
      <c r="M14" s="263"/>
      <c r="N14" s="263"/>
      <c r="O14" s="263"/>
      <c r="P14" s="263"/>
      <c r="Q14" s="263"/>
      <c r="R14" s="263"/>
      <c r="S14" s="263"/>
      <c r="T14" s="263"/>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c r="IR14" s="72"/>
      <c r="IS14" s="72"/>
      <c r="IT14" s="72"/>
      <c r="IU14" s="72"/>
      <c r="IV14" s="72"/>
      <c r="IW14" s="72"/>
      <c r="IX14" s="72"/>
      <c r="IY14" s="72"/>
      <c r="IZ14" s="72"/>
      <c r="JA14" s="72"/>
      <c r="JB14" s="72"/>
      <c r="JC14" s="72"/>
      <c r="JD14" s="72"/>
      <c r="JE14" s="72"/>
      <c r="JF14" s="72"/>
      <c r="JG14" s="72"/>
      <c r="JH14" s="72"/>
      <c r="JI14" s="72"/>
      <c r="JJ14" s="72"/>
      <c r="JK14" s="72"/>
      <c r="JL14" s="72"/>
      <c r="JM14" s="72"/>
      <c r="JN14" s="72"/>
      <c r="JO14" s="72"/>
      <c r="JP14" s="72"/>
      <c r="JQ14" s="72"/>
      <c r="JR14" s="72"/>
      <c r="JS14" s="72"/>
      <c r="JT14" s="72"/>
      <c r="JU14" s="72"/>
      <c r="JV14" s="72"/>
      <c r="JW14" s="72"/>
      <c r="JX14" s="72"/>
      <c r="JY14" s="72"/>
      <c r="JZ14" s="72"/>
      <c r="KA14" s="72"/>
      <c r="KB14" s="72"/>
      <c r="KC14" s="72"/>
      <c r="KD14" s="72"/>
      <c r="KE14" s="72"/>
      <c r="KF14" s="72"/>
      <c r="KG14" s="72"/>
      <c r="KH14" s="72"/>
      <c r="KI14" s="72"/>
      <c r="KJ14" s="72"/>
      <c r="KK14" s="72"/>
      <c r="KL14" s="72"/>
      <c r="KM14" s="72"/>
      <c r="KN14" s="72"/>
      <c r="KO14" s="72"/>
      <c r="KP14" s="72"/>
      <c r="KQ14" s="72"/>
      <c r="KR14" s="72"/>
      <c r="KS14" s="72"/>
      <c r="KT14" s="72"/>
      <c r="KU14" s="72"/>
      <c r="KV14" s="72"/>
      <c r="KW14" s="72"/>
      <c r="KX14" s="72"/>
      <c r="KY14" s="72"/>
      <c r="KZ14" s="72"/>
      <c r="LA14" s="72"/>
      <c r="LB14" s="72"/>
      <c r="LC14" s="72"/>
      <c r="LD14" s="72"/>
      <c r="LE14" s="72"/>
      <c r="LF14" s="72"/>
      <c r="LG14" s="72"/>
      <c r="LH14" s="72"/>
      <c r="LI14" s="72"/>
      <c r="LJ14" s="72"/>
      <c r="LK14" s="72"/>
      <c r="LL14" s="72"/>
      <c r="LM14" s="72"/>
      <c r="LN14" s="72"/>
      <c r="LO14" s="72"/>
      <c r="LP14" s="72"/>
      <c r="LQ14" s="72"/>
      <c r="LR14" s="72"/>
      <c r="LS14" s="72"/>
      <c r="LT14" s="72"/>
      <c r="LU14" s="72"/>
      <c r="LV14" s="72"/>
      <c r="LW14" s="72"/>
      <c r="LX14" s="72"/>
      <c r="LY14" s="72"/>
      <c r="LZ14" s="72"/>
      <c r="MA14" s="72"/>
      <c r="MB14" s="72"/>
      <c r="MC14" s="72"/>
      <c r="MD14" s="72"/>
      <c r="ME14" s="72"/>
      <c r="MF14" s="72"/>
      <c r="MG14" s="72"/>
      <c r="MH14" s="72"/>
      <c r="MI14" s="72"/>
      <c r="MJ14" s="72"/>
      <c r="MK14" s="72"/>
      <c r="ML14" s="72"/>
      <c r="MM14" s="72"/>
      <c r="MN14" s="72"/>
      <c r="MO14" s="72"/>
      <c r="MP14" s="72"/>
      <c r="MQ14" s="72"/>
      <c r="MR14" s="72"/>
      <c r="MS14" s="72"/>
      <c r="MT14" s="72"/>
      <c r="MU14" s="72"/>
      <c r="MV14" s="72"/>
      <c r="MW14" s="72"/>
      <c r="MX14" s="72"/>
      <c r="MY14" s="72"/>
      <c r="MZ14" s="72"/>
      <c r="NA14" s="72"/>
      <c r="NB14" s="72"/>
      <c r="NC14" s="72"/>
      <c r="ND14" s="72"/>
      <c r="NE14" s="72"/>
      <c r="NF14" s="72"/>
      <c r="NG14" s="72"/>
      <c r="NH14" s="72"/>
      <c r="NI14" s="72"/>
      <c r="NJ14" s="72"/>
      <c r="NK14" s="72"/>
      <c r="NL14" s="72"/>
      <c r="NM14" s="72"/>
      <c r="NN14" s="72"/>
      <c r="NO14" s="72"/>
      <c r="NP14" s="72"/>
      <c r="NQ14" s="72"/>
      <c r="NR14" s="72"/>
      <c r="NS14" s="72"/>
      <c r="NT14" s="72"/>
      <c r="NU14" s="72"/>
      <c r="NV14" s="72"/>
      <c r="NW14" s="72"/>
      <c r="NX14" s="72"/>
      <c r="NY14" s="72"/>
      <c r="NZ14" s="72"/>
      <c r="OA14" s="72"/>
      <c r="OB14" s="72"/>
      <c r="OC14" s="72"/>
      <c r="OD14" s="72"/>
      <c r="OE14" s="72"/>
      <c r="OF14" s="72"/>
      <c r="OG14" s="72"/>
    </row>
    <row r="15" spans="1:397" s="71" customFormat="1" outlineLevel="2">
      <c r="A15" s="262" t="s">
        <v>222</v>
      </c>
      <c r="B15" s="262"/>
      <c r="C15" s="262"/>
      <c r="D15" s="262"/>
      <c r="E15" s="262"/>
      <c r="F15" s="262"/>
      <c r="G15" s="262"/>
      <c r="H15" s="262"/>
      <c r="I15" s="262"/>
      <c r="J15" s="262"/>
      <c r="K15" s="262"/>
      <c r="L15" s="262"/>
      <c r="M15" s="262"/>
      <c r="N15" s="262"/>
      <c r="O15" s="262"/>
      <c r="P15" s="262"/>
      <c r="Q15" s="262"/>
      <c r="R15" s="262"/>
      <c r="S15" s="262"/>
      <c r="T15" s="26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72"/>
      <c r="MX15" s="72"/>
      <c r="MY15" s="72"/>
      <c r="MZ15" s="72"/>
      <c r="NA15" s="72"/>
      <c r="NB15" s="72"/>
      <c r="NC15" s="72"/>
      <c r="ND15" s="72"/>
      <c r="NE15" s="72"/>
      <c r="NF15" s="72"/>
      <c r="NG15" s="72"/>
      <c r="NH15" s="72"/>
      <c r="NI15" s="72"/>
      <c r="NJ15" s="72"/>
      <c r="NK15" s="72"/>
      <c r="NL15" s="72"/>
      <c r="NM15" s="72"/>
      <c r="NN15" s="72"/>
      <c r="NO15" s="72"/>
      <c r="NP15" s="72"/>
      <c r="NQ15" s="72"/>
      <c r="NR15" s="72"/>
      <c r="NS15" s="72"/>
      <c r="NT15" s="72"/>
      <c r="NU15" s="72"/>
      <c r="NV15" s="72"/>
      <c r="NW15" s="72"/>
      <c r="NX15" s="72"/>
      <c r="NY15" s="72"/>
      <c r="NZ15" s="72"/>
      <c r="OA15" s="72"/>
      <c r="OB15" s="72"/>
      <c r="OC15" s="72"/>
      <c r="OD15" s="72"/>
      <c r="OE15" s="72"/>
      <c r="OF15" s="72"/>
      <c r="OG15" s="72"/>
    </row>
    <row r="16" spans="1:397" s="71" customFormat="1" ht="45.4" customHeight="1" outlineLevel="2">
      <c r="A16" s="262" t="s">
        <v>219</v>
      </c>
      <c r="B16" s="263"/>
      <c r="C16" s="263"/>
      <c r="D16" s="263"/>
      <c r="E16" s="263"/>
      <c r="F16" s="263"/>
      <c r="G16" s="263"/>
      <c r="H16" s="263"/>
      <c r="I16" s="263"/>
      <c r="J16" s="263"/>
      <c r="K16" s="263"/>
      <c r="L16" s="263"/>
      <c r="M16" s="263"/>
      <c r="N16" s="263"/>
      <c r="O16" s="263"/>
      <c r="P16" s="263"/>
      <c r="Q16" s="263"/>
      <c r="R16" s="263"/>
      <c r="S16" s="263"/>
      <c r="T16" s="263"/>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72"/>
      <c r="NF16" s="72"/>
      <c r="NG16" s="72"/>
      <c r="NH16" s="72"/>
      <c r="NI16" s="72"/>
      <c r="NJ16" s="72"/>
      <c r="NK16" s="72"/>
      <c r="NL16" s="72"/>
      <c r="NM16" s="72"/>
      <c r="NN16" s="72"/>
      <c r="NO16" s="72"/>
      <c r="NP16" s="72"/>
      <c r="NQ16" s="72"/>
      <c r="NR16" s="72"/>
      <c r="NS16" s="72"/>
      <c r="NT16" s="72"/>
      <c r="NU16" s="72"/>
      <c r="NV16" s="72"/>
      <c r="NW16" s="72"/>
      <c r="NX16" s="72"/>
      <c r="NY16" s="72"/>
      <c r="NZ16" s="72"/>
      <c r="OA16" s="72"/>
      <c r="OB16" s="72"/>
      <c r="OC16" s="72"/>
      <c r="OD16" s="72"/>
      <c r="OE16" s="72"/>
      <c r="OF16" s="72"/>
      <c r="OG16" s="72"/>
    </row>
    <row r="17" spans="1:397" s="71" customFormat="1" ht="45.4" customHeight="1" outlineLevel="2">
      <c r="A17" s="262" t="s">
        <v>221</v>
      </c>
      <c r="B17" s="262"/>
      <c r="C17" s="262"/>
      <c r="D17" s="262"/>
      <c r="E17" s="262"/>
      <c r="F17" s="262"/>
      <c r="G17" s="262"/>
      <c r="H17" s="262"/>
      <c r="I17" s="262"/>
      <c r="J17" s="262"/>
      <c r="K17" s="262"/>
      <c r="L17" s="262"/>
      <c r="M17" s="262"/>
      <c r="N17" s="262"/>
      <c r="O17" s="262"/>
      <c r="P17" s="262"/>
      <c r="Q17" s="262"/>
      <c r="R17" s="262"/>
      <c r="S17" s="262"/>
      <c r="T17" s="26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c r="HT17" s="72"/>
      <c r="HU17" s="72"/>
      <c r="HV17" s="72"/>
      <c r="HW17" s="72"/>
      <c r="HX17" s="72"/>
      <c r="HY17" s="72"/>
      <c r="HZ17" s="72"/>
      <c r="IA17" s="72"/>
      <c r="IB17" s="72"/>
      <c r="IC17" s="72"/>
      <c r="ID17" s="72"/>
      <c r="IE17" s="72"/>
      <c r="IF17" s="72"/>
      <c r="IG17" s="72"/>
      <c r="IH17" s="72"/>
      <c r="II17" s="72"/>
      <c r="IJ17" s="72"/>
      <c r="IK17" s="72"/>
      <c r="IL17" s="72"/>
      <c r="IM17" s="72"/>
      <c r="IN17" s="72"/>
      <c r="IO17" s="72"/>
      <c r="IP17" s="72"/>
      <c r="IQ17" s="72"/>
      <c r="IR17" s="72"/>
      <c r="IS17" s="72"/>
      <c r="IT17" s="72"/>
      <c r="IU17" s="72"/>
      <c r="IV17" s="72"/>
      <c r="IW17" s="72"/>
      <c r="IX17" s="72"/>
      <c r="IY17" s="72"/>
      <c r="IZ17" s="72"/>
      <c r="JA17" s="72"/>
      <c r="JB17" s="72"/>
      <c r="JC17" s="72"/>
      <c r="JD17" s="72"/>
      <c r="JE17" s="72"/>
      <c r="JF17" s="72"/>
      <c r="JG17" s="72"/>
      <c r="JH17" s="72"/>
      <c r="JI17" s="72"/>
      <c r="JJ17" s="72"/>
      <c r="JK17" s="72"/>
      <c r="JL17" s="72"/>
      <c r="JM17" s="72"/>
      <c r="JN17" s="72"/>
      <c r="JO17" s="72"/>
      <c r="JP17" s="72"/>
      <c r="JQ17" s="72"/>
      <c r="JR17" s="72"/>
      <c r="JS17" s="72"/>
      <c r="JT17" s="72"/>
      <c r="JU17" s="72"/>
      <c r="JV17" s="72"/>
      <c r="JW17" s="72"/>
      <c r="JX17" s="72"/>
      <c r="JY17" s="72"/>
      <c r="JZ17" s="72"/>
      <c r="KA17" s="72"/>
      <c r="KB17" s="72"/>
      <c r="KC17" s="72"/>
      <c r="KD17" s="72"/>
      <c r="KE17" s="72"/>
      <c r="KF17" s="72"/>
      <c r="KG17" s="72"/>
      <c r="KH17" s="72"/>
      <c r="KI17" s="72"/>
      <c r="KJ17" s="72"/>
      <c r="KK17" s="72"/>
      <c r="KL17" s="72"/>
      <c r="KM17" s="72"/>
      <c r="KN17" s="72"/>
      <c r="KO17" s="72"/>
      <c r="KP17" s="72"/>
      <c r="KQ17" s="72"/>
      <c r="KR17" s="72"/>
      <c r="KS17" s="72"/>
      <c r="KT17" s="72"/>
      <c r="KU17" s="72"/>
      <c r="KV17" s="72"/>
      <c r="KW17" s="72"/>
      <c r="KX17" s="72"/>
      <c r="KY17" s="72"/>
      <c r="KZ17" s="72"/>
      <c r="LA17" s="72"/>
      <c r="LB17" s="72"/>
      <c r="LC17" s="72"/>
      <c r="LD17" s="72"/>
      <c r="LE17" s="72"/>
      <c r="LF17" s="72"/>
      <c r="LG17" s="72"/>
      <c r="LH17" s="72"/>
      <c r="LI17" s="72"/>
      <c r="LJ17" s="72"/>
      <c r="LK17" s="72"/>
      <c r="LL17" s="72"/>
      <c r="LM17" s="72"/>
      <c r="LN17" s="72"/>
      <c r="LO17" s="72"/>
      <c r="LP17" s="72"/>
      <c r="LQ17" s="72"/>
      <c r="LR17" s="72"/>
      <c r="LS17" s="72"/>
      <c r="LT17" s="72"/>
      <c r="LU17" s="72"/>
      <c r="LV17" s="72"/>
      <c r="LW17" s="72"/>
      <c r="LX17" s="72"/>
      <c r="LY17" s="72"/>
      <c r="LZ17" s="72"/>
      <c r="MA17" s="72"/>
      <c r="MB17" s="72"/>
      <c r="MC17" s="72"/>
      <c r="MD17" s="72"/>
      <c r="ME17" s="72"/>
      <c r="MF17" s="72"/>
      <c r="MG17" s="72"/>
      <c r="MH17" s="72"/>
      <c r="MI17" s="72"/>
      <c r="MJ17" s="72"/>
      <c r="MK17" s="72"/>
      <c r="ML17" s="72"/>
      <c r="MM17" s="72"/>
      <c r="MN17" s="72"/>
      <c r="MO17" s="72"/>
      <c r="MP17" s="72"/>
      <c r="MQ17" s="72"/>
      <c r="MR17" s="72"/>
      <c r="MS17" s="72"/>
      <c r="MT17" s="72"/>
      <c r="MU17" s="72"/>
      <c r="MV17" s="72"/>
      <c r="MW17" s="72"/>
      <c r="MX17" s="72"/>
      <c r="MY17" s="72"/>
      <c r="MZ17" s="72"/>
      <c r="NA17" s="72"/>
      <c r="NB17" s="72"/>
      <c r="NC17" s="72"/>
      <c r="ND17" s="72"/>
      <c r="NE17" s="72"/>
      <c r="NF17" s="72"/>
      <c r="NG17" s="72"/>
      <c r="NH17" s="72"/>
      <c r="NI17" s="72"/>
      <c r="NJ17" s="72"/>
      <c r="NK17" s="72"/>
      <c r="NL17" s="72"/>
      <c r="NM17" s="72"/>
      <c r="NN17" s="72"/>
      <c r="NO17" s="72"/>
      <c r="NP17" s="72"/>
      <c r="NQ17" s="72"/>
      <c r="NR17" s="72"/>
      <c r="NS17" s="72"/>
      <c r="NT17" s="72"/>
      <c r="NU17" s="72"/>
      <c r="NV17" s="72"/>
      <c r="NW17" s="72"/>
      <c r="NX17" s="72"/>
      <c r="NY17" s="72"/>
      <c r="NZ17" s="72"/>
      <c r="OA17" s="72"/>
      <c r="OB17" s="72"/>
      <c r="OC17" s="72"/>
      <c r="OD17" s="72"/>
      <c r="OE17" s="72"/>
      <c r="OF17" s="72"/>
      <c r="OG17" s="72"/>
    </row>
    <row r="18" spans="1:397" s="71" customFormat="1" ht="45.4" customHeight="1" outlineLevel="2">
      <c r="A18" s="262" t="s">
        <v>236</v>
      </c>
      <c r="B18" s="263"/>
      <c r="C18" s="263"/>
      <c r="D18" s="263"/>
      <c r="E18" s="263"/>
      <c r="F18" s="263"/>
      <c r="G18" s="263"/>
      <c r="H18" s="263"/>
      <c r="I18" s="263"/>
      <c r="J18" s="263"/>
      <c r="K18" s="263"/>
      <c r="L18" s="263"/>
      <c r="M18" s="263"/>
      <c r="N18" s="263"/>
      <c r="O18" s="263"/>
      <c r="P18" s="263"/>
      <c r="Q18" s="263"/>
      <c r="R18" s="263"/>
      <c r="S18" s="263"/>
      <c r="T18" s="263"/>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c r="HT18" s="72"/>
      <c r="HU18" s="72"/>
      <c r="HV18" s="72"/>
      <c r="HW18" s="72"/>
      <c r="HX18" s="72"/>
      <c r="HY18" s="72"/>
      <c r="HZ18" s="72"/>
      <c r="IA18" s="72"/>
      <c r="IB18" s="72"/>
      <c r="IC18" s="72"/>
      <c r="ID18" s="72"/>
      <c r="IE18" s="72"/>
      <c r="IF18" s="72"/>
      <c r="IG18" s="72"/>
      <c r="IH18" s="72"/>
      <c r="II18" s="72"/>
      <c r="IJ18" s="72"/>
      <c r="IK18" s="72"/>
      <c r="IL18" s="72"/>
      <c r="IM18" s="72"/>
      <c r="IN18" s="72"/>
      <c r="IO18" s="72"/>
      <c r="IP18" s="72"/>
      <c r="IQ18" s="72"/>
      <c r="IR18" s="72"/>
      <c r="IS18" s="72"/>
      <c r="IT18" s="72"/>
      <c r="IU18" s="72"/>
      <c r="IV18" s="72"/>
      <c r="IW18" s="72"/>
      <c r="IX18" s="72"/>
      <c r="IY18" s="72"/>
      <c r="IZ18" s="72"/>
      <c r="JA18" s="72"/>
      <c r="JB18" s="72"/>
      <c r="JC18" s="72"/>
      <c r="JD18" s="72"/>
      <c r="JE18" s="72"/>
      <c r="JF18" s="72"/>
      <c r="JG18" s="72"/>
      <c r="JH18" s="72"/>
      <c r="JI18" s="72"/>
      <c r="JJ18" s="72"/>
      <c r="JK18" s="72"/>
      <c r="JL18" s="72"/>
      <c r="JM18" s="72"/>
      <c r="JN18" s="72"/>
      <c r="JO18" s="72"/>
      <c r="JP18" s="72"/>
      <c r="JQ18" s="72"/>
      <c r="JR18" s="72"/>
      <c r="JS18" s="72"/>
      <c r="JT18" s="72"/>
      <c r="JU18" s="72"/>
      <c r="JV18" s="72"/>
      <c r="JW18" s="72"/>
      <c r="JX18" s="72"/>
      <c r="JY18" s="72"/>
      <c r="JZ18" s="72"/>
      <c r="KA18" s="72"/>
      <c r="KB18" s="72"/>
      <c r="KC18" s="72"/>
      <c r="KD18" s="72"/>
      <c r="KE18" s="72"/>
      <c r="KF18" s="72"/>
      <c r="KG18" s="72"/>
      <c r="KH18" s="72"/>
      <c r="KI18" s="72"/>
      <c r="KJ18" s="72"/>
      <c r="KK18" s="72"/>
      <c r="KL18" s="72"/>
      <c r="KM18" s="72"/>
      <c r="KN18" s="72"/>
      <c r="KO18" s="72"/>
      <c r="KP18" s="72"/>
      <c r="KQ18" s="72"/>
      <c r="KR18" s="72"/>
      <c r="KS18" s="72"/>
      <c r="KT18" s="72"/>
      <c r="KU18" s="72"/>
      <c r="KV18" s="72"/>
      <c r="KW18" s="72"/>
      <c r="KX18" s="72"/>
      <c r="KY18" s="72"/>
      <c r="KZ18" s="72"/>
      <c r="LA18" s="72"/>
      <c r="LB18" s="72"/>
      <c r="LC18" s="72"/>
      <c r="LD18" s="72"/>
      <c r="LE18" s="72"/>
      <c r="LF18" s="72"/>
      <c r="LG18" s="72"/>
      <c r="LH18" s="72"/>
      <c r="LI18" s="72"/>
      <c r="LJ18" s="72"/>
      <c r="LK18" s="72"/>
      <c r="LL18" s="72"/>
      <c r="LM18" s="72"/>
      <c r="LN18" s="72"/>
      <c r="LO18" s="72"/>
      <c r="LP18" s="72"/>
      <c r="LQ18" s="72"/>
      <c r="LR18" s="72"/>
      <c r="LS18" s="72"/>
      <c r="LT18" s="72"/>
      <c r="LU18" s="72"/>
      <c r="LV18" s="72"/>
      <c r="LW18" s="72"/>
      <c r="LX18" s="72"/>
      <c r="LY18" s="72"/>
      <c r="LZ18" s="72"/>
      <c r="MA18" s="72"/>
      <c r="MB18" s="72"/>
      <c r="MC18" s="72"/>
      <c r="MD18" s="72"/>
      <c r="ME18" s="72"/>
      <c r="MF18" s="72"/>
      <c r="MG18" s="72"/>
      <c r="MH18" s="72"/>
      <c r="MI18" s="72"/>
      <c r="MJ18" s="72"/>
      <c r="MK18" s="72"/>
      <c r="ML18" s="72"/>
      <c r="MM18" s="72"/>
      <c r="MN18" s="72"/>
      <c r="MO18" s="72"/>
      <c r="MP18" s="72"/>
      <c r="MQ18" s="72"/>
      <c r="MR18" s="72"/>
      <c r="MS18" s="72"/>
      <c r="MT18" s="72"/>
      <c r="MU18" s="72"/>
      <c r="MV18" s="72"/>
      <c r="MW18" s="72"/>
      <c r="MX18" s="72"/>
      <c r="MY18" s="72"/>
      <c r="MZ18" s="72"/>
      <c r="NA18" s="72"/>
      <c r="NB18" s="72"/>
      <c r="NC18" s="72"/>
      <c r="ND18" s="72"/>
      <c r="NE18" s="72"/>
      <c r="NF18" s="72"/>
      <c r="NG18" s="72"/>
      <c r="NH18" s="72"/>
      <c r="NI18" s="72"/>
      <c r="NJ18" s="72"/>
      <c r="NK18" s="72"/>
      <c r="NL18" s="72"/>
      <c r="NM18" s="72"/>
      <c r="NN18" s="72"/>
      <c r="NO18" s="72"/>
      <c r="NP18" s="72"/>
      <c r="NQ18" s="72"/>
      <c r="NR18" s="72"/>
      <c r="NS18" s="72"/>
      <c r="NT18" s="72"/>
      <c r="NU18" s="72"/>
      <c r="NV18" s="72"/>
      <c r="NW18" s="72"/>
      <c r="NX18" s="72"/>
      <c r="NY18" s="72"/>
      <c r="NZ18" s="72"/>
      <c r="OA18" s="72"/>
      <c r="OB18" s="72"/>
      <c r="OC18" s="72"/>
      <c r="OD18" s="72"/>
      <c r="OE18" s="72"/>
      <c r="OF18" s="72"/>
      <c r="OG18" s="72"/>
    </row>
    <row r="19" spans="1:397" s="93" customFormat="1" ht="15.75" outlineLevel="1">
      <c r="A19" s="264" t="s">
        <v>52</v>
      </c>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6"/>
      <c r="AJ19" s="91"/>
      <c r="AK19" s="92"/>
      <c r="AL19" s="92"/>
      <c r="AM19" s="92"/>
      <c r="AN19" s="92"/>
      <c r="AO19" s="92"/>
      <c r="AP19" s="92"/>
      <c r="AQ19" s="92"/>
      <c r="AR19" s="92"/>
      <c r="AS19" s="92"/>
      <c r="AT19" s="92"/>
      <c r="AU19" s="92"/>
      <c r="AV19" s="92"/>
      <c r="AW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c r="FC19" s="92"/>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c r="IN19" s="92"/>
      <c r="IO19" s="92"/>
      <c r="IP19" s="92"/>
      <c r="IQ19" s="92"/>
      <c r="IR19" s="92"/>
      <c r="IS19" s="92"/>
      <c r="IT19" s="92"/>
      <c r="IU19" s="92"/>
      <c r="IV19" s="92"/>
      <c r="IW19" s="92"/>
      <c r="IX19" s="92"/>
      <c r="IY19" s="92"/>
      <c r="IZ19" s="92"/>
      <c r="JA19" s="92"/>
      <c r="JB19" s="92"/>
      <c r="JC19" s="92"/>
      <c r="JD19" s="92"/>
      <c r="JE19" s="92"/>
      <c r="JF19" s="92"/>
      <c r="JG19" s="92"/>
      <c r="JH19" s="92"/>
      <c r="JI19" s="92"/>
      <c r="JJ19" s="92"/>
      <c r="JK19" s="92"/>
      <c r="JL19" s="92"/>
      <c r="JM19" s="92"/>
      <c r="JN19" s="92"/>
      <c r="JO19" s="92"/>
      <c r="JP19" s="92"/>
      <c r="JQ19" s="92"/>
      <c r="JR19" s="92"/>
      <c r="JS19" s="92"/>
      <c r="JT19" s="92"/>
      <c r="JU19" s="92"/>
      <c r="JV19" s="92"/>
      <c r="JW19" s="92"/>
      <c r="JX19" s="92"/>
      <c r="JY19" s="92"/>
      <c r="JZ19" s="92"/>
      <c r="KA19" s="92"/>
      <c r="KB19" s="92"/>
      <c r="KC19" s="92"/>
      <c r="KD19" s="92"/>
      <c r="KE19" s="92"/>
      <c r="KF19" s="92"/>
      <c r="KG19" s="92"/>
      <c r="KH19" s="92"/>
      <c r="KI19" s="92"/>
      <c r="KJ19" s="92"/>
      <c r="KK19" s="92"/>
      <c r="KL19" s="92"/>
      <c r="KM19" s="92"/>
      <c r="KN19" s="92"/>
      <c r="KO19" s="92"/>
      <c r="KP19" s="92"/>
      <c r="KQ19" s="92"/>
      <c r="KR19" s="92"/>
      <c r="KS19" s="92"/>
      <c r="KT19" s="92"/>
      <c r="KU19" s="92"/>
      <c r="KV19" s="92"/>
      <c r="KW19" s="92"/>
      <c r="KX19" s="92"/>
      <c r="KY19" s="92"/>
      <c r="KZ19" s="92"/>
      <c r="LA19" s="92"/>
      <c r="LB19" s="92"/>
      <c r="LC19" s="92"/>
      <c r="LD19" s="92"/>
      <c r="LE19" s="92"/>
      <c r="LF19" s="92"/>
      <c r="LG19" s="92"/>
      <c r="LH19" s="92"/>
      <c r="LI19" s="92"/>
      <c r="LJ19" s="92"/>
      <c r="LK19" s="92"/>
      <c r="LL19" s="92"/>
      <c r="LM19" s="92"/>
      <c r="LN19" s="92"/>
      <c r="LO19" s="92"/>
      <c r="LP19" s="92"/>
      <c r="LQ19" s="92"/>
      <c r="LR19" s="92"/>
      <c r="LS19" s="92"/>
      <c r="LT19" s="92"/>
      <c r="LU19" s="92"/>
      <c r="LV19" s="92"/>
      <c r="LW19" s="92"/>
      <c r="LX19" s="92"/>
      <c r="LY19" s="92"/>
      <c r="LZ19" s="92"/>
      <c r="MA19" s="92"/>
      <c r="MB19" s="92"/>
      <c r="MC19" s="92"/>
      <c r="MD19" s="92"/>
      <c r="ME19" s="92"/>
      <c r="MF19" s="92"/>
      <c r="MG19" s="92"/>
      <c r="MH19" s="92"/>
      <c r="MI19" s="92"/>
      <c r="MJ19" s="92"/>
      <c r="MK19" s="92"/>
      <c r="ML19" s="92"/>
      <c r="MM19" s="92"/>
      <c r="MN19" s="92"/>
      <c r="MO19" s="92"/>
      <c r="MP19" s="92"/>
      <c r="MQ19" s="92"/>
      <c r="MR19" s="92"/>
      <c r="MS19" s="92"/>
      <c r="MT19" s="92"/>
      <c r="MU19" s="92"/>
      <c r="MV19" s="92"/>
      <c r="MW19" s="92"/>
      <c r="MX19" s="92"/>
      <c r="MY19" s="92"/>
      <c r="MZ19" s="92"/>
      <c r="NA19" s="92"/>
      <c r="NB19" s="92"/>
      <c r="NC19" s="92"/>
      <c r="ND19" s="92"/>
      <c r="NE19" s="92"/>
      <c r="NF19" s="92"/>
      <c r="NG19" s="92"/>
      <c r="NH19" s="92"/>
      <c r="NI19" s="92"/>
      <c r="NJ19" s="92"/>
      <c r="NK19" s="92"/>
      <c r="NL19" s="92"/>
      <c r="NM19" s="92"/>
      <c r="NN19" s="92"/>
      <c r="NO19" s="92"/>
      <c r="NP19" s="92"/>
      <c r="NQ19" s="92"/>
      <c r="NR19" s="92"/>
      <c r="NS19" s="92"/>
      <c r="NT19" s="92"/>
      <c r="NU19" s="92"/>
      <c r="NV19" s="92"/>
      <c r="NW19" s="92"/>
      <c r="NX19" s="92"/>
      <c r="NY19" s="92"/>
      <c r="NZ19" s="92"/>
      <c r="OA19" s="92"/>
      <c r="OB19" s="92"/>
      <c r="OC19" s="92"/>
      <c r="OD19" s="92"/>
      <c r="OE19" s="92"/>
      <c r="OF19" s="92"/>
      <c r="OG19" s="92"/>
    </row>
    <row r="20" spans="1:397" ht="15.75" outlineLevel="2">
      <c r="A20" s="267"/>
      <c r="B20" s="268"/>
      <c r="C20" s="269"/>
      <c r="D20" s="94">
        <v>2019</v>
      </c>
      <c r="E20" s="94">
        <v>2020</v>
      </c>
      <c r="F20" s="94">
        <v>2021</v>
      </c>
      <c r="G20" s="94">
        <v>2022</v>
      </c>
      <c r="H20" s="94">
        <v>2023</v>
      </c>
      <c r="I20" s="94">
        <v>2024</v>
      </c>
      <c r="J20" s="94">
        <v>2025</v>
      </c>
      <c r="K20" s="94">
        <v>2026</v>
      </c>
      <c r="L20" s="94">
        <v>2027</v>
      </c>
      <c r="M20" s="94">
        <v>2028</v>
      </c>
      <c r="N20" s="94">
        <v>2029</v>
      </c>
      <c r="O20" s="94">
        <v>2030</v>
      </c>
      <c r="P20" s="94">
        <v>2031</v>
      </c>
      <c r="Q20" s="94">
        <v>2032</v>
      </c>
      <c r="R20" s="94">
        <v>2033</v>
      </c>
      <c r="S20" s="94">
        <v>2034</v>
      </c>
      <c r="T20" s="94">
        <v>2035</v>
      </c>
      <c r="U20" s="94">
        <v>2036</v>
      </c>
      <c r="V20" s="94">
        <v>2037</v>
      </c>
      <c r="W20" s="94">
        <v>2038</v>
      </c>
      <c r="X20" s="94">
        <v>2039</v>
      </c>
      <c r="Y20" s="94">
        <v>2040</v>
      </c>
      <c r="Z20" s="94">
        <v>2041</v>
      </c>
      <c r="AA20" s="94">
        <v>2042</v>
      </c>
      <c r="AB20" s="94">
        <v>2043</v>
      </c>
      <c r="AC20" s="94">
        <v>2044</v>
      </c>
      <c r="AD20" s="94">
        <v>2045</v>
      </c>
      <c r="AE20" s="94">
        <v>2046</v>
      </c>
      <c r="AF20" s="94">
        <v>2047</v>
      </c>
      <c r="AG20" s="94">
        <v>2048</v>
      </c>
      <c r="AH20" s="94">
        <v>2049</v>
      </c>
      <c r="AI20" s="94">
        <v>2050</v>
      </c>
    </row>
    <row r="21" spans="1:397" outlineLevel="2">
      <c r="A21" s="270" t="s">
        <v>77</v>
      </c>
      <c r="B21" s="270"/>
      <c r="C21" s="270"/>
      <c r="D21" s="96">
        <v>517885</v>
      </c>
      <c r="E21" s="96">
        <v>523709</v>
      </c>
      <c r="F21" s="96">
        <v>529679.88452580501</v>
      </c>
      <c r="G21" s="96">
        <v>535839.39345794998</v>
      </c>
      <c r="H21" s="96">
        <v>542009.52091406402</v>
      </c>
      <c r="I21" s="96">
        <v>549753.40890682198</v>
      </c>
      <c r="J21" s="96">
        <v>558062.54325902904</v>
      </c>
      <c r="K21" s="96">
        <v>568604.92595412699</v>
      </c>
      <c r="L21" s="96">
        <v>579561.49922789796</v>
      </c>
      <c r="M21" s="96">
        <v>590602.80843873404</v>
      </c>
      <c r="N21" s="96">
        <v>601717.06284880894</v>
      </c>
      <c r="O21" s="96">
        <v>612890.27684774704</v>
      </c>
      <c r="P21" s="96">
        <v>624115.73459114099</v>
      </c>
      <c r="Q21" s="96">
        <v>635369.34346888401</v>
      </c>
      <c r="R21" s="96">
        <v>646633.93957674899</v>
      </c>
      <c r="S21" s="96">
        <v>657684.18012063205</v>
      </c>
      <c r="T21" s="96">
        <v>668702.31840856303</v>
      </c>
      <c r="U21" s="96">
        <v>679671.11756203196</v>
      </c>
      <c r="V21" s="96">
        <v>690580.30699221999</v>
      </c>
      <c r="W21" s="96">
        <v>701414.39557514596</v>
      </c>
      <c r="X21" s="96">
        <v>712160.20711523399</v>
      </c>
      <c r="Y21" s="96">
        <v>722806.84772372001</v>
      </c>
      <c r="Z21" s="96">
        <v>733347.07624688698</v>
      </c>
      <c r="AA21" s="96">
        <v>743779.17395343306</v>
      </c>
      <c r="AB21" s="96">
        <v>754105.44741077104</v>
      </c>
      <c r="AC21" s="96">
        <v>764332.57769676705</v>
      </c>
      <c r="AD21" s="96">
        <v>774471.20380282798</v>
      </c>
      <c r="AE21" s="96">
        <v>784533.02156007604</v>
      </c>
      <c r="AF21" s="96">
        <v>794531.32645392104</v>
      </c>
      <c r="AG21" s="96">
        <v>804477.67973307404</v>
      </c>
      <c r="AH21" s="96">
        <v>814387.82269520697</v>
      </c>
      <c r="AI21" s="96">
        <v>824276.83459984895</v>
      </c>
    </row>
    <row r="22" spans="1:397" outlineLevel="2">
      <c r="A22" s="270" t="s">
        <v>78</v>
      </c>
      <c r="B22" s="270" t="s">
        <v>53</v>
      </c>
      <c r="C22" s="270" t="s">
        <v>53</v>
      </c>
      <c r="D22" s="167">
        <v>0</v>
      </c>
      <c r="E22" s="167">
        <f>(E21-D21)/D21</f>
        <v>1.1245739884337256E-2</v>
      </c>
      <c r="F22" s="167">
        <f t="shared" ref="F22:AI22" si="0">(F21-E21)/E21</f>
        <v>1.1401149351653329E-2</v>
      </c>
      <c r="G22" s="167">
        <f t="shared" si="0"/>
        <v>1.1628738625140075E-2</v>
      </c>
      <c r="H22" s="167">
        <f t="shared" si="0"/>
        <v>1.1514882129692181E-2</v>
      </c>
      <c r="I22" s="167">
        <f t="shared" si="0"/>
        <v>1.4287365247197851E-2</v>
      </c>
      <c r="J22" s="167">
        <f t="shared" si="0"/>
        <v>1.5114293458824896E-2</v>
      </c>
      <c r="K22" s="167">
        <f t="shared" si="0"/>
        <v>1.889104155518392E-2</v>
      </c>
      <c r="L22" s="167">
        <f t="shared" si="0"/>
        <v>1.9269219758139968E-2</v>
      </c>
      <c r="M22" s="167">
        <f t="shared" si="0"/>
        <v>1.9051143365364159E-2</v>
      </c>
      <c r="N22" s="167">
        <f t="shared" si="0"/>
        <v>1.8818492312042301E-2</v>
      </c>
      <c r="O22" s="167">
        <f t="shared" si="0"/>
        <v>1.8568883431755938E-2</v>
      </c>
      <c r="P22" s="167">
        <f t="shared" si="0"/>
        <v>1.831560748708461E-2</v>
      </c>
      <c r="Q22" s="167">
        <f t="shared" si="0"/>
        <v>1.8031285311393832E-2</v>
      </c>
      <c r="R22" s="167">
        <f t="shared" si="0"/>
        <v>1.7729209354616346E-2</v>
      </c>
      <c r="S22" s="167">
        <f t="shared" si="0"/>
        <v>1.7088865689784148E-2</v>
      </c>
      <c r="T22" s="167">
        <f t="shared" si="0"/>
        <v>1.6752931910130546E-2</v>
      </c>
      <c r="U22" s="167">
        <f t="shared" si="0"/>
        <v>1.6403112194336995E-2</v>
      </c>
      <c r="V22" s="167">
        <f t="shared" si="0"/>
        <v>1.6050688558488558E-2</v>
      </c>
      <c r="W22" s="167">
        <f t="shared" si="0"/>
        <v>1.568838333967728E-2</v>
      </c>
      <c r="X22" s="167">
        <f t="shared" si="0"/>
        <v>1.5320203873598405E-2</v>
      </c>
      <c r="Y22" s="167">
        <f t="shared" si="0"/>
        <v>1.4949783071442095E-2</v>
      </c>
      <c r="Z22" s="167">
        <f t="shared" si="0"/>
        <v>1.458235842170076E-2</v>
      </c>
      <c r="AA22" s="167">
        <f t="shared" si="0"/>
        <v>1.4225321194345403E-2</v>
      </c>
      <c r="AB22" s="167">
        <f t="shared" si="0"/>
        <v>1.3883520564915009E-2</v>
      </c>
      <c r="AC22" s="167">
        <f t="shared" si="0"/>
        <v>1.3561936624527739E-2</v>
      </c>
      <c r="AD22" s="167">
        <f t="shared" si="0"/>
        <v>1.3264678756219669E-2</v>
      </c>
      <c r="AE22" s="167">
        <f t="shared" si="0"/>
        <v>1.2991855226950044E-2</v>
      </c>
      <c r="AF22" s="167">
        <f t="shared" si="0"/>
        <v>1.2744275408526407E-2</v>
      </c>
      <c r="AG22" s="167">
        <f t="shared" si="0"/>
        <v>1.2518516196893896E-2</v>
      </c>
      <c r="AH22" s="167">
        <f t="shared" si="0"/>
        <v>1.2318729545636516E-2</v>
      </c>
      <c r="AI22" s="167">
        <f t="shared" si="0"/>
        <v>1.2142877912779217E-2</v>
      </c>
    </row>
    <row r="23" spans="1:397" outlineLevel="2">
      <c r="A23" s="271" t="s">
        <v>75</v>
      </c>
      <c r="B23" s="271"/>
      <c r="C23" s="271"/>
      <c r="D23" s="95">
        <v>56448</v>
      </c>
      <c r="E23" s="95">
        <f t="shared" ref="E23:AI23" si="1">D23*(1+E22)</f>
        <v>57082.799524991075</v>
      </c>
      <c r="F23" s="95">
        <f t="shared" si="1"/>
        <v>57733.609047785976</v>
      </c>
      <c r="G23" s="95">
        <f t="shared" si="1"/>
        <v>58404.978097288702</v>
      </c>
      <c r="H23" s="95">
        <f t="shared" si="1"/>
        <v>59077.504535866239</v>
      </c>
      <c r="I23" s="95">
        <f t="shared" si="1"/>
        <v>59921.566421063144</v>
      </c>
      <c r="J23" s="95">
        <f t="shared" si="1"/>
        <v>60827.238560463556</v>
      </c>
      <c r="K23" s="95">
        <f t="shared" si="1"/>
        <v>61976.328451796362</v>
      </c>
      <c r="L23" s="95">
        <f t="shared" si="1"/>
        <v>63170.563944536683</v>
      </c>
      <c r="M23" s="95">
        <f t="shared" si="1"/>
        <v>64374.035414714956</v>
      </c>
      <c r="N23" s="95">
        <f t="shared" si="1"/>
        <v>65585.457705261899</v>
      </c>
      <c r="O23" s="95">
        <f t="shared" si="1"/>
        <v>66803.306424209266</v>
      </c>
      <c r="P23" s="95">
        <f t="shared" si="1"/>
        <v>68026.849563514523</v>
      </c>
      <c r="Q23" s="95">
        <f t="shared" si="1"/>
        <v>69253.461096829516</v>
      </c>
      <c r="R23" s="95">
        <f t="shared" si="1"/>
        <v>70481.270207146998</v>
      </c>
      <c r="S23" s="95">
        <f t="shared" si="1"/>
        <v>71685.715167362316</v>
      </c>
      <c r="T23" s="95">
        <f t="shared" si="1"/>
        <v>72886.66107249014</v>
      </c>
      <c r="U23" s="95">
        <f t="shared" si="1"/>
        <v>74082.229151532825</v>
      </c>
      <c r="V23" s="95">
        <f t="shared" si="1"/>
        <v>75271.299939362667</v>
      </c>
      <c r="W23" s="95">
        <f t="shared" si="1"/>
        <v>76452.184947287213</v>
      </c>
      <c r="X23" s="95">
        <f t="shared" si="1"/>
        <v>77623.448007261701</v>
      </c>
      <c r="Y23" s="95">
        <f t="shared" si="1"/>
        <v>78783.901716227614</v>
      </c>
      <c r="Z23" s="95">
        <f t="shared" si="1"/>
        <v>79932.756808913706</v>
      </c>
      <c r="AA23" s="95">
        <f t="shared" si="1"/>
        <v>81069.82594847001</v>
      </c>
      <c r="AB23" s="95">
        <f t="shared" si="1"/>
        <v>82195.360544219671</v>
      </c>
      <c r="AC23" s="95">
        <f t="shared" si="1"/>
        <v>83310.088814750576</v>
      </c>
      <c r="AD23" s="95">
        <f t="shared" si="1"/>
        <v>84415.170380030366</v>
      </c>
      <c r="AE23" s="95">
        <f t="shared" si="1"/>
        <v>85511.880052566048</v>
      </c>
      <c r="AF23" s="95">
        <f t="shared" si="1"/>
        <v>86601.667002656817</v>
      </c>
      <c r="AG23" s="95">
        <f t="shared" si="1"/>
        <v>87685.791373707587</v>
      </c>
      <c r="AH23" s="95">
        <f t="shared" si="1"/>
        <v>88765.968922635409</v>
      </c>
      <c r="AI23" s="95">
        <f t="shared" si="1"/>
        <v>89843.843246072531</v>
      </c>
    </row>
    <row r="24" spans="1:397" outlineLevel="2">
      <c r="A24" s="270" t="s">
        <v>76</v>
      </c>
      <c r="B24" s="270"/>
      <c r="C24" s="270"/>
      <c r="D24" s="167">
        <v>0</v>
      </c>
      <c r="E24" s="167">
        <f>(E23-D23)/D23</f>
        <v>1.1245739884337348E-2</v>
      </c>
      <c r="F24" s="167">
        <f t="shared" ref="F24:AI24" si="2">(F23-E23)/E23</f>
        <v>1.1401149351653199E-2</v>
      </c>
      <c r="G24" s="167">
        <f t="shared" si="2"/>
        <v>1.1628738625140085E-2</v>
      </c>
      <c r="H24" s="167">
        <f t="shared" si="2"/>
        <v>1.1514882129692254E-2</v>
      </c>
      <c r="I24" s="167">
        <f t="shared" si="2"/>
        <v>1.4287365247197785E-2</v>
      </c>
      <c r="J24" s="167">
        <f t="shared" si="2"/>
        <v>1.5114293458824835E-2</v>
      </c>
      <c r="K24" s="167">
        <f t="shared" si="2"/>
        <v>1.8891041555183966E-2</v>
      </c>
      <c r="L24" s="167">
        <f t="shared" si="2"/>
        <v>1.9269219758139878E-2</v>
      </c>
      <c r="M24" s="167">
        <f t="shared" si="2"/>
        <v>1.9051143365364159E-2</v>
      </c>
      <c r="N24" s="167">
        <f t="shared" si="2"/>
        <v>1.8818492312042162E-2</v>
      </c>
      <c r="O24" s="167">
        <f t="shared" si="2"/>
        <v>1.8568883431755934E-2</v>
      </c>
      <c r="P24" s="167">
        <f t="shared" si="2"/>
        <v>1.8315607487084641E-2</v>
      </c>
      <c r="Q24" s="167">
        <f t="shared" si="2"/>
        <v>1.803128531139378E-2</v>
      </c>
      <c r="R24" s="167">
        <f t="shared" si="2"/>
        <v>1.7729209354616519E-2</v>
      </c>
      <c r="S24" s="167">
        <f t="shared" si="2"/>
        <v>1.708886568978412E-2</v>
      </c>
      <c r="T24" s="167">
        <f t="shared" si="2"/>
        <v>1.6752931910130421E-2</v>
      </c>
      <c r="U24" s="167">
        <f t="shared" si="2"/>
        <v>1.6403112194337193E-2</v>
      </c>
      <c r="V24" s="167">
        <f t="shared" si="2"/>
        <v>1.6050688558488641E-2</v>
      </c>
      <c r="W24" s="167">
        <f t="shared" si="2"/>
        <v>1.5688383339677241E-2</v>
      </c>
      <c r="X24" s="167">
        <f t="shared" si="2"/>
        <v>1.5320203873598363E-2</v>
      </c>
      <c r="Y24" s="167">
        <f t="shared" si="2"/>
        <v>1.4949783071441925E-2</v>
      </c>
      <c r="Z24" s="167">
        <f t="shared" si="2"/>
        <v>1.458235842170095E-2</v>
      </c>
      <c r="AA24" s="167">
        <f t="shared" si="2"/>
        <v>1.4225321194345497E-2</v>
      </c>
      <c r="AB24" s="167">
        <f t="shared" si="2"/>
        <v>1.3883520564914976E-2</v>
      </c>
      <c r="AC24" s="167">
        <f t="shared" si="2"/>
        <v>1.356193662452761E-2</v>
      </c>
      <c r="AD24" s="167">
        <f t="shared" si="2"/>
        <v>1.3264678756219599E-2</v>
      </c>
      <c r="AE24" s="167">
        <f t="shared" si="2"/>
        <v>1.2991855226950118E-2</v>
      </c>
      <c r="AF24" s="167">
        <f t="shared" si="2"/>
        <v>1.2744275408526311E-2</v>
      </c>
      <c r="AG24" s="167">
        <f t="shared" si="2"/>
        <v>1.251851619689388E-2</v>
      </c>
      <c r="AH24" s="167">
        <f t="shared" si="2"/>
        <v>1.2318729545636646E-2</v>
      </c>
      <c r="AI24" s="167">
        <f t="shared" si="2"/>
        <v>1.2142877912779279E-2</v>
      </c>
    </row>
    <row r="25" spans="1:397" outlineLevel="2">
      <c r="A25" s="270" t="s">
        <v>90</v>
      </c>
      <c r="B25" s="270" t="s">
        <v>54</v>
      </c>
      <c r="C25" s="270" t="s">
        <v>54</v>
      </c>
      <c r="D25" s="167">
        <v>0</v>
      </c>
      <c r="E25" s="167">
        <f>((E23-$D$23)/$D$23)</f>
        <v>1.1245739884337348E-2</v>
      </c>
      <c r="F25" s="167">
        <f t="shared" ref="F25:AI25" si="3">((F23-$D$23)/$D$23)</f>
        <v>2.277510359598172E-2</v>
      </c>
      <c r="G25" s="167">
        <f t="shared" si="3"/>
        <v>3.4668687947999967E-2</v>
      </c>
      <c r="H25" s="167">
        <f t="shared" si="3"/>
        <v>4.6582775933004521E-2</v>
      </c>
      <c r="I25" s="167">
        <f t="shared" si="3"/>
        <v>6.1535686314185517E-2</v>
      </c>
      <c r="J25" s="167">
        <f t="shared" si="3"/>
        <v>7.7580048194153137E-2</v>
      </c>
      <c r="K25" s="167">
        <f t="shared" si="3"/>
        <v>9.7936657663626026E-2</v>
      </c>
      <c r="L25" s="167">
        <f t="shared" si="3"/>
        <v>0.11909304040066403</v>
      </c>
      <c r="M25" s="167">
        <f t="shared" si="3"/>
        <v>0.14041304235251834</v>
      </c>
      <c r="N25" s="167">
        <f t="shared" si="3"/>
        <v>0.16187389642258182</v>
      </c>
      <c r="O25" s="167">
        <f t="shared" si="3"/>
        <v>0.18344859736765282</v>
      </c>
      <c r="P25" s="167">
        <f t="shared" si="3"/>
        <v>0.20512417735817962</v>
      </c>
      <c r="Q25" s="167">
        <f t="shared" si="3"/>
        <v>0.22685411523578367</v>
      </c>
      <c r="R25" s="167">
        <f t="shared" si="3"/>
        <v>0.24860526869237171</v>
      </c>
      <c r="S25" s="167">
        <f t="shared" si="3"/>
        <v>0.26994251642861244</v>
      </c>
      <c r="T25" s="167">
        <f t="shared" si="3"/>
        <v>0.29121777693612066</v>
      </c>
      <c r="U25" s="167">
        <f t="shared" si="3"/>
        <v>0.3123977669985265</v>
      </c>
      <c r="V25" s="167">
        <f t="shared" si="3"/>
        <v>0.3334626548214758</v>
      </c>
      <c r="W25" s="167">
        <f t="shared" si="3"/>
        <v>0.35438252811945886</v>
      </c>
      <c r="X25" s="167">
        <f t="shared" si="3"/>
        <v>0.37513194457308852</v>
      </c>
      <c r="Y25" s="167">
        <f t="shared" si="3"/>
        <v>0.39568986883906632</v>
      </c>
      <c r="Z25" s="167">
        <f t="shared" si="3"/>
        <v>0.41604231875201436</v>
      </c>
      <c r="AA25" s="167">
        <f t="shared" si="3"/>
        <v>0.43618597556104749</v>
      </c>
      <c r="AB25" s="167">
        <f t="shared" si="3"/>
        <v>0.45612529308779182</v>
      </c>
      <c r="AC25" s="167">
        <f t="shared" si="3"/>
        <v>0.47587317203002011</v>
      </c>
      <c r="AD25" s="167">
        <f t="shared" si="3"/>
        <v>0.49545015554192118</v>
      </c>
      <c r="AE25" s="167">
        <f t="shared" si="3"/>
        <v>0.51487882746184188</v>
      </c>
      <c r="AF25" s="167">
        <f t="shared" si="3"/>
        <v>0.53418486044956093</v>
      </c>
      <c r="AG25" s="167">
        <f t="shared" si="3"/>
        <v>0.5533905784741282</v>
      </c>
      <c r="AH25" s="167">
        <f t="shared" si="3"/>
        <v>0.57252637688909103</v>
      </c>
      <c r="AI25" s="167">
        <f t="shared" si="3"/>
        <v>0.59162137269828041</v>
      </c>
    </row>
    <row r="26" spans="1:397" outlineLevel="2">
      <c r="A26" s="270" t="s">
        <v>114</v>
      </c>
      <c r="B26" s="270"/>
      <c r="C26" s="270"/>
      <c r="D26" s="96">
        <v>2909317</v>
      </c>
      <c r="E26" s="96">
        <v>2934233</v>
      </c>
      <c r="F26" s="96">
        <v>2961955.269303313</v>
      </c>
      <c r="G26" s="96">
        <v>2990581.8239156809</v>
      </c>
      <c r="H26" s="96">
        <v>3020236.948150354</v>
      </c>
      <c r="I26" s="96">
        <v>3052312.6181903295</v>
      </c>
      <c r="J26" s="96">
        <v>3087006.4134812201</v>
      </c>
      <c r="K26" s="96">
        <v>3125066.0709829424</v>
      </c>
      <c r="L26" s="96">
        <v>3164620.6495615593</v>
      </c>
      <c r="M26" s="96">
        <v>3203479.0692168958</v>
      </c>
      <c r="N26" s="96">
        <v>3241282.0790919252</v>
      </c>
      <c r="O26" s="96">
        <v>3278126.2711905865</v>
      </c>
      <c r="P26" s="96">
        <v>3314079.2664656769</v>
      </c>
      <c r="Q26" s="96">
        <v>3348897.189096103</v>
      </c>
      <c r="R26" s="96">
        <v>3382544.0759215471</v>
      </c>
      <c r="S26" s="96">
        <v>3414809.1361933304</v>
      </c>
      <c r="T26" s="96">
        <v>3446092.7315400345</v>
      </c>
      <c r="U26" s="96">
        <v>3476340.6129658679</v>
      </c>
      <c r="V26" s="96">
        <v>3505490.4080125056</v>
      </c>
      <c r="W26" s="96">
        <v>3533566.0617398401</v>
      </c>
      <c r="X26" s="96">
        <v>3560426.42256294</v>
      </c>
      <c r="Y26" s="96">
        <v>3585403.6562361587</v>
      </c>
      <c r="Z26" s="96">
        <v>3608496.8388179289</v>
      </c>
      <c r="AA26" s="96">
        <v>3629377.8996141101</v>
      </c>
      <c r="AB26" s="96">
        <v>3648251.5319690565</v>
      </c>
      <c r="AC26" s="96">
        <v>3665115.9958235864</v>
      </c>
      <c r="AD26" s="96">
        <v>3681084.5229406678</v>
      </c>
      <c r="AE26" s="96">
        <v>3696273.7407164914</v>
      </c>
      <c r="AF26" s="96">
        <v>3709832.7682157634</v>
      </c>
      <c r="AG26" s="96">
        <v>3722639.6571118701</v>
      </c>
      <c r="AH26" s="96">
        <v>3735031.3578496813</v>
      </c>
      <c r="AI26" s="96">
        <v>3746027.3385824696</v>
      </c>
    </row>
    <row r="27" spans="1:397" outlineLevel="2">
      <c r="A27" s="270" t="s">
        <v>115</v>
      </c>
      <c r="B27" s="270"/>
      <c r="C27" s="270"/>
      <c r="D27" s="167">
        <v>0</v>
      </c>
      <c r="E27" s="167">
        <f>(E26-D26)/D26</f>
        <v>8.5642094003506673E-3</v>
      </c>
      <c r="F27" s="167">
        <f t="shared" ref="F27:AI27" si="4">(F26-E26)/E26</f>
        <v>9.4478759196399854E-3</v>
      </c>
      <c r="G27" s="167">
        <f t="shared" si="4"/>
        <v>9.6647491300910788E-3</v>
      </c>
      <c r="H27" s="167">
        <f t="shared" si="4"/>
        <v>9.9161721633967987E-3</v>
      </c>
      <c r="I27" s="167">
        <f t="shared" si="4"/>
        <v>1.0620249533606709E-2</v>
      </c>
      <c r="J27" s="167">
        <f t="shared" si="4"/>
        <v>1.1366396444496583E-2</v>
      </c>
      <c r="K27" s="167">
        <f t="shared" si="4"/>
        <v>1.232898556203591E-2</v>
      </c>
      <c r="L27" s="167">
        <f t="shared" si="4"/>
        <v>1.2657197537642993E-2</v>
      </c>
      <c r="M27" s="167">
        <f t="shared" si="4"/>
        <v>1.2279013492729422E-2</v>
      </c>
      <c r="N27" s="167">
        <f t="shared" si="4"/>
        <v>1.1800610854083224E-2</v>
      </c>
      <c r="O27" s="167">
        <f t="shared" si="4"/>
        <v>1.1367166201401257E-2</v>
      </c>
      <c r="P27" s="167">
        <f t="shared" si="4"/>
        <v>1.0967544353327377E-2</v>
      </c>
      <c r="Q27" s="167">
        <f t="shared" si="4"/>
        <v>1.0506062115876253E-2</v>
      </c>
      <c r="R27" s="167">
        <f t="shared" si="4"/>
        <v>1.0047154309483526E-2</v>
      </c>
      <c r="S27" s="167">
        <f t="shared" si="4"/>
        <v>9.5386961847623245E-3</v>
      </c>
      <c r="T27" s="167">
        <f t="shared" si="4"/>
        <v>9.1611548695742385E-3</v>
      </c>
      <c r="U27" s="167">
        <f t="shared" si="4"/>
        <v>8.7774426813859319E-3</v>
      </c>
      <c r="V27" s="167">
        <f t="shared" si="4"/>
        <v>8.3851953223215338E-3</v>
      </c>
      <c r="W27" s="167">
        <f t="shared" si="4"/>
        <v>8.0090516474276719E-3</v>
      </c>
      <c r="X27" s="167">
        <f t="shared" si="4"/>
        <v>7.6014882285445635E-3</v>
      </c>
      <c r="Y27" s="167">
        <f t="shared" si="4"/>
        <v>7.0152365781060034E-3</v>
      </c>
      <c r="Z27" s="167">
        <f t="shared" si="4"/>
        <v>6.4408877760817346E-3</v>
      </c>
      <c r="AA27" s="167">
        <f t="shared" si="4"/>
        <v>5.7866368543145023E-3</v>
      </c>
      <c r="AB27" s="167">
        <f t="shared" si="4"/>
        <v>5.2002389602231998E-3</v>
      </c>
      <c r="AC27" s="167">
        <f t="shared" si="4"/>
        <v>4.622615438313187E-3</v>
      </c>
      <c r="AD27" s="167">
        <f t="shared" si="4"/>
        <v>4.3568954257594168E-3</v>
      </c>
      <c r="AE27" s="167">
        <f t="shared" si="4"/>
        <v>4.1262887828746467E-3</v>
      </c>
      <c r="AF27" s="167">
        <f t="shared" si="4"/>
        <v>3.6682963574672148E-3</v>
      </c>
      <c r="AG27" s="167">
        <f t="shared" si="4"/>
        <v>3.452147225026046E-3</v>
      </c>
      <c r="AH27" s="167">
        <f t="shared" si="4"/>
        <v>3.3287403238553026E-3</v>
      </c>
      <c r="AI27" s="167">
        <f t="shared" si="4"/>
        <v>2.9440129624825687E-3</v>
      </c>
    </row>
    <row r="28" spans="1:397" outlineLevel="2">
      <c r="A28" s="270" t="s">
        <v>116</v>
      </c>
      <c r="B28" s="270"/>
      <c r="C28" s="270"/>
      <c r="D28" s="167">
        <v>0</v>
      </c>
      <c r="E28" s="167">
        <f>((E26-$D$26)/$D$26)</f>
        <v>8.5642094003506673E-3</v>
      </c>
      <c r="F28" s="167">
        <f t="shared" ref="F28:AI28" si="5">((F26-$D$26)/$D$26)</f>
        <v>1.8092998907754978E-2</v>
      </c>
      <c r="G28" s="167">
        <f t="shared" si="5"/>
        <v>2.7932612333300522E-2</v>
      </c>
      <c r="H28" s="167">
        <f t="shared" si="5"/>
        <v>3.8125769089567746E-2</v>
      </c>
      <c r="I28" s="167">
        <f t="shared" si="5"/>
        <v>4.9150923804566336E-2</v>
      </c>
      <c r="J28" s="167">
        <f t="shared" si="5"/>
        <v>6.1075989134638867E-2</v>
      </c>
      <c r="K28" s="167">
        <f t="shared" si="5"/>
        <v>7.41579796849028E-2</v>
      </c>
      <c r="L28" s="167">
        <f t="shared" si="5"/>
        <v>8.7753809420410125E-2</v>
      </c>
      <c r="M28" s="167">
        <f t="shared" si="5"/>
        <v>0.10111035312305117</v>
      </c>
      <c r="N28" s="167">
        <f t="shared" si="5"/>
        <v>0.11410412790765846</v>
      </c>
      <c r="O28" s="167">
        <f t="shared" si="5"/>
        <v>0.12676833469525201</v>
      </c>
      <c r="P28" s="167">
        <f t="shared" si="5"/>
        <v>0.13912621638194703</v>
      </c>
      <c r="Q28" s="167">
        <f t="shared" si="5"/>
        <v>0.15109394716907884</v>
      </c>
      <c r="R28" s="167">
        <f t="shared" si="5"/>
        <v>0.16265916568099906</v>
      </c>
      <c r="S28" s="167">
        <f t="shared" si="5"/>
        <v>0.17374941822885934</v>
      </c>
      <c r="T28" s="167">
        <f t="shared" si="5"/>
        <v>0.18450231842732659</v>
      </c>
      <c r="U28" s="167">
        <f t="shared" si="5"/>
        <v>0.19489921963329121</v>
      </c>
      <c r="V28" s="167">
        <f t="shared" si="5"/>
        <v>0.20491868298040591</v>
      </c>
      <c r="W28" s="167">
        <f t="shared" si="5"/>
        <v>0.21456893894334653</v>
      </c>
      <c r="X28" s="167">
        <f t="shared" si="5"/>
        <v>0.22380147043548024</v>
      </c>
      <c r="Y28" s="167">
        <f t="shared" si="5"/>
        <v>0.23238672727521914</v>
      </c>
      <c r="Z28" s="167">
        <f t="shared" si="5"/>
        <v>0.24032439188233146</v>
      </c>
      <c r="AA28" s="167">
        <f t="shared" si="5"/>
        <v>0.24750169871970298</v>
      </c>
      <c r="AB28" s="167">
        <f t="shared" si="5"/>
        <v>0.25398900565632981</v>
      </c>
      <c r="AC28" s="167">
        <f t="shared" si="5"/>
        <v>0.25978571459335176</v>
      </c>
      <c r="AD28" s="167">
        <f t="shared" si="5"/>
        <v>0.26527446921070058</v>
      </c>
      <c r="AE28" s="167">
        <f t="shared" si="5"/>
        <v>0.2704953570602624</v>
      </c>
      <c r="AF28" s="167">
        <f t="shared" si="5"/>
        <v>0.27515591055074556</v>
      </c>
      <c r="AG28" s="167">
        <f t="shared" si="5"/>
        <v>0.27955793648882887</v>
      </c>
      <c r="AH28" s="167">
        <f t="shared" si="5"/>
        <v>0.28381725258872831</v>
      </c>
      <c r="AI28" s="167">
        <f t="shared" si="5"/>
        <v>0.28759682722180829</v>
      </c>
    </row>
    <row r="29" spans="1:397" s="93" customFormat="1" ht="15.75" outlineLevel="1">
      <c r="A29" s="264" t="s">
        <v>55</v>
      </c>
      <c r="B29" s="265"/>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6"/>
      <c r="AX29" s="91"/>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c r="FC29" s="92"/>
      <c r="FD29" s="92"/>
      <c r="FE29" s="92"/>
      <c r="FF29" s="92"/>
      <c r="FG29" s="92"/>
      <c r="FH29" s="92"/>
      <c r="FI29" s="92"/>
      <c r="FJ29" s="92"/>
      <c r="FK29" s="92"/>
      <c r="FL29" s="92"/>
      <c r="FM29" s="92"/>
      <c r="FN29" s="92"/>
      <c r="FO29" s="92"/>
      <c r="FP29" s="92"/>
      <c r="FQ29" s="92"/>
      <c r="FR29" s="92"/>
      <c r="FS29" s="92"/>
      <c r="FT29" s="92"/>
      <c r="FU29" s="92"/>
      <c r="FV29" s="92"/>
      <c r="FW29" s="92"/>
      <c r="FX29" s="92"/>
      <c r="FY29" s="92"/>
      <c r="FZ29" s="92"/>
      <c r="GA29" s="92"/>
      <c r="GB29" s="92"/>
      <c r="GC29" s="92"/>
      <c r="GD29" s="92"/>
      <c r="GE29" s="92"/>
      <c r="GF29" s="92"/>
      <c r="GG29" s="92"/>
      <c r="GH29" s="92"/>
      <c r="GI29" s="92"/>
      <c r="GJ29" s="92"/>
      <c r="GK29" s="92"/>
      <c r="GL29" s="92"/>
      <c r="GM29" s="92"/>
      <c r="GN29" s="92"/>
      <c r="GO29" s="92"/>
      <c r="GP29" s="92"/>
      <c r="GQ29" s="92"/>
      <c r="GR29" s="92"/>
      <c r="GS29" s="92"/>
      <c r="GT29" s="92"/>
      <c r="GU29" s="92"/>
      <c r="GV29" s="92"/>
      <c r="GW29" s="92"/>
      <c r="GX29" s="92"/>
      <c r="GY29" s="92"/>
      <c r="GZ29" s="92"/>
      <c r="HA29" s="92"/>
      <c r="HB29" s="92"/>
      <c r="HC29" s="92"/>
      <c r="HD29" s="92"/>
      <c r="HE29" s="92"/>
      <c r="HF29" s="92"/>
      <c r="HG29" s="92"/>
      <c r="HH29" s="92"/>
      <c r="HI29" s="92"/>
      <c r="HJ29" s="92"/>
      <c r="HK29" s="92"/>
      <c r="HL29" s="92"/>
      <c r="HM29" s="92"/>
      <c r="HN29" s="92"/>
      <c r="HO29" s="92"/>
      <c r="HP29" s="92"/>
      <c r="HQ29" s="92"/>
      <c r="HR29" s="92"/>
      <c r="HS29" s="92"/>
      <c r="HT29" s="92"/>
      <c r="HU29" s="92"/>
      <c r="HV29" s="92"/>
      <c r="HW29" s="92"/>
      <c r="HX29" s="92"/>
      <c r="HY29" s="92"/>
      <c r="HZ29" s="92"/>
      <c r="IA29" s="92"/>
      <c r="IB29" s="92"/>
      <c r="IC29" s="92"/>
      <c r="ID29" s="92"/>
      <c r="IE29" s="92"/>
      <c r="IF29" s="92"/>
      <c r="IG29" s="92"/>
      <c r="IH29" s="92"/>
      <c r="II29" s="92"/>
      <c r="IJ29" s="92"/>
      <c r="IK29" s="92"/>
      <c r="IL29" s="92"/>
      <c r="IM29" s="92"/>
      <c r="IN29" s="92"/>
      <c r="IO29" s="92"/>
      <c r="IP29" s="92"/>
      <c r="IQ29" s="92"/>
      <c r="IR29" s="92"/>
      <c r="IS29" s="92"/>
      <c r="IT29" s="92"/>
      <c r="IU29" s="92"/>
      <c r="IV29" s="92"/>
      <c r="IW29" s="92"/>
      <c r="IX29" s="92"/>
      <c r="IY29" s="92"/>
      <c r="IZ29" s="92"/>
      <c r="JA29" s="92"/>
      <c r="JB29" s="92"/>
      <c r="JC29" s="92"/>
      <c r="JD29" s="92"/>
      <c r="JE29" s="92"/>
      <c r="JF29" s="92"/>
      <c r="JG29" s="92"/>
      <c r="JH29" s="92"/>
      <c r="JI29" s="92"/>
      <c r="JJ29" s="92"/>
      <c r="JK29" s="92"/>
      <c r="JL29" s="92"/>
      <c r="JM29" s="92"/>
      <c r="JN29" s="92"/>
      <c r="JO29" s="92"/>
      <c r="JP29" s="92"/>
      <c r="JQ29" s="92"/>
      <c r="JR29" s="92"/>
      <c r="JS29" s="92"/>
      <c r="JT29" s="92"/>
      <c r="JU29" s="92"/>
      <c r="JV29" s="92"/>
      <c r="JW29" s="92"/>
      <c r="JX29" s="92"/>
      <c r="JY29" s="92"/>
      <c r="JZ29" s="92"/>
      <c r="KA29" s="92"/>
      <c r="KB29" s="92"/>
      <c r="KC29" s="92"/>
      <c r="KD29" s="92"/>
      <c r="KE29" s="92"/>
      <c r="KF29" s="92"/>
      <c r="KG29" s="92"/>
      <c r="KH29" s="92"/>
      <c r="KI29" s="92"/>
      <c r="KJ29" s="92"/>
      <c r="KK29" s="92"/>
      <c r="KL29" s="92"/>
      <c r="KM29" s="92"/>
      <c r="KN29" s="92"/>
      <c r="KO29" s="92"/>
      <c r="KP29" s="92"/>
      <c r="KQ29" s="92"/>
      <c r="KR29" s="92"/>
      <c r="KS29" s="92"/>
      <c r="KT29" s="92"/>
      <c r="KU29" s="92"/>
      <c r="KV29" s="92"/>
      <c r="KW29" s="92"/>
      <c r="KX29" s="92"/>
      <c r="KY29" s="92"/>
      <c r="KZ29" s="92"/>
      <c r="LA29" s="92"/>
      <c r="LB29" s="92"/>
      <c r="LC29" s="92"/>
      <c r="LD29" s="92"/>
      <c r="LE29" s="92"/>
      <c r="LF29" s="92"/>
      <c r="LG29" s="92"/>
      <c r="LH29" s="92"/>
      <c r="LI29" s="92"/>
      <c r="LJ29" s="92"/>
      <c r="LK29" s="92"/>
      <c r="LL29" s="92"/>
      <c r="LM29" s="92"/>
      <c r="LN29" s="92"/>
      <c r="LO29" s="92"/>
      <c r="LP29" s="92"/>
      <c r="LQ29" s="92"/>
      <c r="LR29" s="92"/>
      <c r="LS29" s="92"/>
      <c r="LT29" s="92"/>
      <c r="LU29" s="92"/>
      <c r="LV29" s="92"/>
      <c r="LW29" s="92"/>
      <c r="LX29" s="92"/>
      <c r="LY29" s="92"/>
      <c r="LZ29" s="92"/>
      <c r="MA29" s="92"/>
      <c r="MB29" s="92"/>
      <c r="MC29" s="92"/>
      <c r="MD29" s="92"/>
      <c r="ME29" s="92"/>
      <c r="MF29" s="92"/>
      <c r="MG29" s="92"/>
      <c r="MH29" s="92"/>
      <c r="MI29" s="92"/>
      <c r="MJ29" s="92"/>
      <c r="MK29" s="92"/>
      <c r="ML29" s="92"/>
      <c r="MM29" s="92"/>
      <c r="MN29" s="92"/>
      <c r="MO29" s="92"/>
      <c r="MP29" s="92"/>
      <c r="MQ29" s="92"/>
      <c r="MR29" s="92"/>
      <c r="MS29" s="92"/>
      <c r="MT29" s="92"/>
      <c r="MU29" s="92"/>
      <c r="MV29" s="92"/>
      <c r="MW29" s="92"/>
      <c r="MX29" s="92"/>
      <c r="MY29" s="92"/>
      <c r="MZ29" s="92"/>
      <c r="NA29" s="92"/>
      <c r="NB29" s="92"/>
      <c r="NC29" s="92"/>
      <c r="ND29" s="92"/>
      <c r="NE29" s="92"/>
      <c r="NF29" s="92"/>
      <c r="NG29" s="92"/>
      <c r="NH29" s="92"/>
      <c r="NI29" s="92"/>
      <c r="NJ29" s="92"/>
      <c r="NK29" s="92"/>
      <c r="NL29" s="92"/>
      <c r="NM29" s="92"/>
      <c r="NN29" s="92"/>
      <c r="NO29" s="92"/>
      <c r="NP29" s="92"/>
      <c r="NQ29" s="92"/>
      <c r="NR29" s="92"/>
      <c r="NS29" s="92"/>
      <c r="NT29" s="92"/>
      <c r="NU29" s="92"/>
      <c r="NV29" s="92"/>
      <c r="NW29" s="92"/>
      <c r="NX29" s="92"/>
      <c r="NY29" s="92"/>
      <c r="NZ29" s="92"/>
      <c r="OA29" s="92"/>
      <c r="OB29" s="92"/>
      <c r="OC29" s="92"/>
      <c r="OD29" s="92"/>
      <c r="OE29" s="92"/>
      <c r="OF29" s="92"/>
      <c r="OG29" s="92"/>
    </row>
    <row r="30" spans="1:397" ht="15.75" outlineLevel="2">
      <c r="A30" s="267"/>
      <c r="B30" s="268"/>
      <c r="C30" s="269"/>
      <c r="D30" s="94">
        <v>2005</v>
      </c>
      <c r="E30" s="94">
        <v>2006</v>
      </c>
      <c r="F30" s="94">
        <v>2007</v>
      </c>
      <c r="G30" s="94">
        <v>2008</v>
      </c>
      <c r="H30" s="94">
        <v>2009</v>
      </c>
      <c r="I30" s="94">
        <v>2010</v>
      </c>
      <c r="J30" s="94">
        <v>2011</v>
      </c>
      <c r="K30" s="94">
        <v>2012</v>
      </c>
      <c r="L30" s="94">
        <v>2013</v>
      </c>
      <c r="M30" s="94">
        <v>2014</v>
      </c>
      <c r="N30" s="94">
        <v>2015</v>
      </c>
      <c r="O30" s="94">
        <v>2016</v>
      </c>
      <c r="P30" s="94">
        <v>2017</v>
      </c>
      <c r="Q30" s="94">
        <v>2018</v>
      </c>
      <c r="R30" s="94">
        <v>2019</v>
      </c>
      <c r="S30" s="94">
        <v>2020</v>
      </c>
      <c r="T30" s="94">
        <v>2021</v>
      </c>
      <c r="U30" s="94">
        <v>2022</v>
      </c>
      <c r="V30" s="94">
        <v>2023</v>
      </c>
      <c r="W30" s="94">
        <v>2024</v>
      </c>
      <c r="X30" s="94">
        <v>2025</v>
      </c>
      <c r="Y30" s="94">
        <v>2026</v>
      </c>
      <c r="Z30" s="94">
        <v>2027</v>
      </c>
      <c r="AA30" s="94">
        <v>2028</v>
      </c>
      <c r="AB30" s="94">
        <v>2029</v>
      </c>
      <c r="AC30" s="94">
        <v>2030</v>
      </c>
      <c r="AD30" s="94">
        <v>2031</v>
      </c>
      <c r="AE30" s="94">
        <v>2032</v>
      </c>
      <c r="AF30" s="94">
        <v>2033</v>
      </c>
      <c r="AG30" s="94">
        <v>2034</v>
      </c>
      <c r="AH30" s="94">
        <v>2035</v>
      </c>
      <c r="AI30" s="94">
        <v>2036</v>
      </c>
      <c r="AJ30" s="94">
        <v>2037</v>
      </c>
      <c r="AK30" s="94">
        <v>2038</v>
      </c>
      <c r="AL30" s="94">
        <v>2039</v>
      </c>
      <c r="AM30" s="94">
        <v>2040</v>
      </c>
      <c r="AN30" s="94">
        <v>2041</v>
      </c>
      <c r="AO30" s="94">
        <v>2042</v>
      </c>
      <c r="AP30" s="94">
        <v>2043</v>
      </c>
      <c r="AQ30" s="94">
        <v>2044</v>
      </c>
      <c r="AR30" s="94">
        <v>2045</v>
      </c>
      <c r="AS30" s="94">
        <v>2046</v>
      </c>
      <c r="AT30" s="94">
        <v>2047</v>
      </c>
      <c r="AU30" s="94">
        <v>2048</v>
      </c>
      <c r="AV30" s="94">
        <v>2049</v>
      </c>
      <c r="AW30" s="94">
        <v>2050</v>
      </c>
    </row>
    <row r="31" spans="1:397" s="89" customFormat="1" ht="15.75" outlineLevel="2">
      <c r="A31" s="294" t="s">
        <v>199</v>
      </c>
      <c r="B31" s="295"/>
      <c r="C31" s="296"/>
      <c r="D31" s="97">
        <f>(1894/$A$4)</f>
        <v>0.85910497047110168</v>
      </c>
      <c r="E31" s="97">
        <f>($I$31-$D$31)/($I$30-$D$30)+D31</f>
        <v>0.87999201676479399</v>
      </c>
      <c r="F31" s="97">
        <f t="shared" ref="F31:H31" si="6">($I$31-$D$31)/($I$30-$D$30)+E31</f>
        <v>0.90087906305848631</v>
      </c>
      <c r="G31" s="97">
        <f t="shared" si="6"/>
        <v>0.92176610935217862</v>
      </c>
      <c r="H31" s="97">
        <f t="shared" si="6"/>
        <v>0.94265315564587093</v>
      </c>
      <c r="I31" s="97">
        <f>(2.12/$A$4)*$A$5*1.002</f>
        <v>0.96354020193956347</v>
      </c>
      <c r="J31" s="97">
        <f>(2.12/$A$4)*$A$5*1.002</f>
        <v>0.96354020193956347</v>
      </c>
      <c r="K31" s="97">
        <f>(1.96/$A$4)*$A$5*1.002</f>
        <v>0.89082018669884155</v>
      </c>
      <c r="L31" s="97">
        <f>(1.93/$A$4)*$A$5*1.002</f>
        <v>0.87718518384120636</v>
      </c>
      <c r="M31" s="97">
        <f>(1.99/$A$4)*$A$5*1.002</f>
        <v>0.90445518955647686</v>
      </c>
      <c r="N31" s="97">
        <f>(1.871/$A$4)*$A$5*1.002</f>
        <v>0.85036967822119003</v>
      </c>
      <c r="O31" s="97">
        <f>(1.776/$A$4)*$A$5*1.002</f>
        <v>0.80719216917201164</v>
      </c>
      <c r="P31" s="97">
        <f>1746.1/$A$4*1.002</f>
        <v>0.79360261632390161</v>
      </c>
      <c r="Q31" s="97">
        <f>1404/$A$4*1.002</f>
        <v>0.63811813373733339</v>
      </c>
      <c r="R31" s="98">
        <f>1706/A4*1.002</f>
        <v>0.77537716250419575</v>
      </c>
      <c r="S31" s="98">
        <f>R31+(($AC$31-$R$31)/($AC$30-$R$30))</f>
        <v>0.72831846510757159</v>
      </c>
      <c r="T31" s="98">
        <f t="shared" ref="T31:AB31" si="7">S31+(($AC$31-$R$31)/($AC$30-$R$30))</f>
        <v>0.68125976771094743</v>
      </c>
      <c r="U31" s="98">
        <f t="shared" si="7"/>
        <v>0.63420107031432327</v>
      </c>
      <c r="V31" s="98">
        <f t="shared" si="7"/>
        <v>0.58714237291769911</v>
      </c>
      <c r="W31" s="98">
        <f t="shared" si="7"/>
        <v>0.54008367552107495</v>
      </c>
      <c r="X31" s="98">
        <f t="shared" si="7"/>
        <v>0.49302497812445084</v>
      </c>
      <c r="Y31" s="98">
        <f t="shared" si="7"/>
        <v>0.44596628072782674</v>
      </c>
      <c r="Z31" s="98">
        <f t="shared" si="7"/>
        <v>0.39890758333120263</v>
      </c>
      <c r="AA31" s="98">
        <f t="shared" si="7"/>
        <v>0.35184888593457853</v>
      </c>
      <c r="AB31" s="98">
        <f t="shared" si="7"/>
        <v>0.30479018853795442</v>
      </c>
      <c r="AC31" s="168">
        <f>D31*(1-70%)</f>
        <v>0.25773149114133054</v>
      </c>
      <c r="AD31" s="169">
        <f>$AC$31</f>
        <v>0.25773149114133054</v>
      </c>
      <c r="AE31" s="169">
        <f t="shared" ref="AE31:AW31" si="8">$AC$31</f>
        <v>0.25773149114133054</v>
      </c>
      <c r="AF31" s="169">
        <f t="shared" si="8"/>
        <v>0.25773149114133054</v>
      </c>
      <c r="AG31" s="169">
        <f t="shared" si="8"/>
        <v>0.25773149114133054</v>
      </c>
      <c r="AH31" s="169">
        <f t="shared" si="8"/>
        <v>0.25773149114133054</v>
      </c>
      <c r="AI31" s="169">
        <f t="shared" si="8"/>
        <v>0.25773149114133054</v>
      </c>
      <c r="AJ31" s="169">
        <f t="shared" si="8"/>
        <v>0.25773149114133054</v>
      </c>
      <c r="AK31" s="169">
        <f t="shared" si="8"/>
        <v>0.25773149114133054</v>
      </c>
      <c r="AL31" s="169">
        <f t="shared" si="8"/>
        <v>0.25773149114133054</v>
      </c>
      <c r="AM31" s="169">
        <f t="shared" si="8"/>
        <v>0.25773149114133054</v>
      </c>
      <c r="AN31" s="169">
        <f t="shared" si="8"/>
        <v>0.25773149114133054</v>
      </c>
      <c r="AO31" s="169">
        <f t="shared" si="8"/>
        <v>0.25773149114133054</v>
      </c>
      <c r="AP31" s="169">
        <f t="shared" si="8"/>
        <v>0.25773149114133054</v>
      </c>
      <c r="AQ31" s="169">
        <f t="shared" si="8"/>
        <v>0.25773149114133054</v>
      </c>
      <c r="AR31" s="169">
        <f t="shared" si="8"/>
        <v>0.25773149114133054</v>
      </c>
      <c r="AS31" s="169">
        <f t="shared" si="8"/>
        <v>0.25773149114133054</v>
      </c>
      <c r="AT31" s="169">
        <f t="shared" si="8"/>
        <v>0.25773149114133054</v>
      </c>
      <c r="AU31" s="169">
        <f t="shared" si="8"/>
        <v>0.25773149114133054</v>
      </c>
      <c r="AV31" s="169">
        <f t="shared" si="8"/>
        <v>0.25773149114133054</v>
      </c>
      <c r="AW31" s="169">
        <f t="shared" si="8"/>
        <v>0.25773149114133054</v>
      </c>
    </row>
    <row r="32" spans="1:397" s="89" customFormat="1" outlineLevel="2">
      <c r="A32" s="291" t="s">
        <v>91</v>
      </c>
      <c r="B32" s="292"/>
      <c r="C32" s="293"/>
      <c r="D32" s="170">
        <v>1849</v>
      </c>
      <c r="E32" s="170">
        <v>1836</v>
      </c>
      <c r="F32" s="170">
        <v>1750</v>
      </c>
      <c r="G32" s="170">
        <v>1646</v>
      </c>
      <c r="H32" s="170">
        <v>1616</v>
      </c>
      <c r="I32" s="170">
        <v>1667</v>
      </c>
      <c r="J32" s="170">
        <v>1613</v>
      </c>
      <c r="K32" s="170">
        <v>1544</v>
      </c>
      <c r="L32" s="170">
        <v>1521</v>
      </c>
      <c r="M32" s="170">
        <v>1452</v>
      </c>
      <c r="N32" s="170">
        <v>1459</v>
      </c>
      <c r="O32" s="170">
        <v>1308</v>
      </c>
      <c r="P32" s="170">
        <f>0.593*2204.62</f>
        <v>1307.3396599999999</v>
      </c>
      <c r="Q32" s="170">
        <f>0.552*2204.622</f>
        <v>1216.9513440000001</v>
      </c>
      <c r="R32" s="170">
        <v>1131.8807332880581</v>
      </c>
      <c r="S32" s="170">
        <v>1079.7577581672476</v>
      </c>
      <c r="T32" s="170">
        <v>1059.6604681858601</v>
      </c>
      <c r="U32" s="170">
        <v>983.00930505586007</v>
      </c>
      <c r="V32" s="170">
        <v>906.35814192586008</v>
      </c>
      <c r="W32" s="170">
        <v>829.7069787958601</v>
      </c>
      <c r="X32" s="170">
        <v>753.05581566586011</v>
      </c>
      <c r="Y32" s="170">
        <v>676.40465253586012</v>
      </c>
      <c r="Z32" s="170">
        <v>599.75348940586014</v>
      </c>
      <c r="AA32" s="170">
        <v>523.10232627586015</v>
      </c>
      <c r="AB32" s="170">
        <v>446.45116314586016</v>
      </c>
      <c r="AC32" s="170">
        <v>369.7999999999999</v>
      </c>
      <c r="AD32" s="171">
        <f>AC32-18.5</f>
        <v>351.2999999999999</v>
      </c>
      <c r="AE32" s="171">
        <f t="shared" ref="AE32:AV32" si="9">AD32-18.5</f>
        <v>332.7999999999999</v>
      </c>
      <c r="AF32" s="171">
        <f t="shared" si="9"/>
        <v>314.2999999999999</v>
      </c>
      <c r="AG32" s="171">
        <f t="shared" si="9"/>
        <v>295.7999999999999</v>
      </c>
      <c r="AH32" s="171">
        <f t="shared" si="9"/>
        <v>277.2999999999999</v>
      </c>
      <c r="AI32" s="171">
        <f t="shared" si="9"/>
        <v>258.7999999999999</v>
      </c>
      <c r="AJ32" s="171">
        <f t="shared" si="9"/>
        <v>240.2999999999999</v>
      </c>
      <c r="AK32" s="171">
        <f t="shared" si="9"/>
        <v>221.7999999999999</v>
      </c>
      <c r="AL32" s="171">
        <f t="shared" si="9"/>
        <v>203.2999999999999</v>
      </c>
      <c r="AM32" s="171">
        <f t="shared" si="9"/>
        <v>184.7999999999999</v>
      </c>
      <c r="AN32" s="171">
        <f t="shared" si="9"/>
        <v>166.2999999999999</v>
      </c>
      <c r="AO32" s="171">
        <f t="shared" si="9"/>
        <v>147.7999999999999</v>
      </c>
      <c r="AP32" s="171">
        <f t="shared" si="9"/>
        <v>129.2999999999999</v>
      </c>
      <c r="AQ32" s="171">
        <f t="shared" si="9"/>
        <v>110.7999999999999</v>
      </c>
      <c r="AR32" s="171">
        <f t="shared" si="9"/>
        <v>92.299999999999898</v>
      </c>
      <c r="AS32" s="171">
        <f t="shared" si="9"/>
        <v>73.799999999999898</v>
      </c>
      <c r="AT32" s="171">
        <f t="shared" si="9"/>
        <v>55.299999999999898</v>
      </c>
      <c r="AU32" s="171">
        <f t="shared" si="9"/>
        <v>36.799999999999898</v>
      </c>
      <c r="AV32" s="171">
        <f t="shared" si="9"/>
        <v>18.299999999999898</v>
      </c>
      <c r="AW32" s="171">
        <v>0</v>
      </c>
    </row>
    <row r="33" spans="1:49" outlineLevel="2">
      <c r="A33" s="291" t="s">
        <v>92</v>
      </c>
      <c r="B33" s="292"/>
      <c r="C33" s="293"/>
      <c r="D33" s="99">
        <f t="shared" ref="D33:AC33" si="10">D32/$A$4*1.002</f>
        <v>0.8403706761255908</v>
      </c>
      <c r="E33" s="99">
        <f t="shared" si="10"/>
        <v>0.83446217488728225</v>
      </c>
      <c r="F33" s="99">
        <f t="shared" si="10"/>
        <v>0.79537516669539432</v>
      </c>
      <c r="G33" s="99">
        <f t="shared" si="10"/>
        <v>0.74810715678892503</v>
      </c>
      <c r="H33" s="99">
        <f t="shared" si="10"/>
        <v>0.73447215393128984</v>
      </c>
      <c r="I33" s="99">
        <f t="shared" si="10"/>
        <v>0.75765165878926988</v>
      </c>
      <c r="J33" s="99">
        <f t="shared" si="10"/>
        <v>0.73310865364552624</v>
      </c>
      <c r="K33" s="99">
        <f t="shared" si="10"/>
        <v>0.70174814707296496</v>
      </c>
      <c r="L33" s="99">
        <f t="shared" si="10"/>
        <v>0.69129464488211123</v>
      </c>
      <c r="M33" s="99">
        <f t="shared" si="10"/>
        <v>0.65993413830954994</v>
      </c>
      <c r="N33" s="99">
        <f t="shared" si="10"/>
        <v>0.66311563897633152</v>
      </c>
      <c r="O33" s="99">
        <f t="shared" si="10"/>
        <v>0.5944861245929004</v>
      </c>
      <c r="P33" s="99">
        <f t="shared" si="10"/>
        <v>0.59418599999999999</v>
      </c>
      <c r="Q33" s="99">
        <f t="shared" si="10"/>
        <v>0.55310450176810522</v>
      </c>
      <c r="R33" s="99">
        <f t="shared" si="10"/>
        <v>0.51443990109616822</v>
      </c>
      <c r="S33" s="99">
        <f t="shared" si="10"/>
        <v>0.4907500039388113</v>
      </c>
      <c r="T33" s="99">
        <f t="shared" si="10"/>
        <v>0.48161578372791314</v>
      </c>
      <c r="U33" s="99">
        <f t="shared" si="10"/>
        <v>0.44677782278395911</v>
      </c>
      <c r="V33" s="99">
        <f t="shared" si="10"/>
        <v>0.41193986184000503</v>
      </c>
      <c r="W33" s="99">
        <f t="shared" si="10"/>
        <v>0.37710190089605095</v>
      </c>
      <c r="X33" s="99">
        <f t="shared" si="10"/>
        <v>0.34226393995209686</v>
      </c>
      <c r="Y33" s="99">
        <f t="shared" si="10"/>
        <v>0.30742597900814284</v>
      </c>
      <c r="Z33" s="99">
        <f t="shared" si="10"/>
        <v>0.27258801806418875</v>
      </c>
      <c r="AA33" s="99">
        <f t="shared" si="10"/>
        <v>0.23775005712023475</v>
      </c>
      <c r="AB33" s="99">
        <f t="shared" si="10"/>
        <v>0.2029120961762807</v>
      </c>
      <c r="AC33" s="99">
        <f t="shared" si="10"/>
        <v>0.1680741352251181</v>
      </c>
      <c r="AD33" s="99">
        <f>AD32/$A$4*1.002</f>
        <v>0.15966588346290966</v>
      </c>
      <c r="AE33" s="99">
        <f t="shared" ref="AE33:AW33" si="11">AE32/$A$4*1.002</f>
        <v>0.15125763170070122</v>
      </c>
      <c r="AF33" s="99">
        <f t="shared" si="11"/>
        <v>0.14284937993849275</v>
      </c>
      <c r="AG33" s="99">
        <f t="shared" si="11"/>
        <v>0.13444112817628431</v>
      </c>
      <c r="AH33" s="99">
        <f t="shared" si="11"/>
        <v>0.12603287641407585</v>
      </c>
      <c r="AI33" s="99">
        <f t="shared" si="11"/>
        <v>0.1176246246518674</v>
      </c>
      <c r="AJ33" s="99">
        <f t="shared" si="11"/>
        <v>0.10921637288965895</v>
      </c>
      <c r="AK33" s="99">
        <f t="shared" si="11"/>
        <v>0.1008081211274505</v>
      </c>
      <c r="AL33" s="99">
        <f t="shared" si="11"/>
        <v>9.2399869365242041E-2</v>
      </c>
      <c r="AM33" s="99">
        <f t="shared" si="11"/>
        <v>8.3991617603033586E-2</v>
      </c>
      <c r="AN33" s="99">
        <f t="shared" si="11"/>
        <v>7.5583365840825131E-2</v>
      </c>
      <c r="AO33" s="99">
        <f t="shared" si="11"/>
        <v>6.7175114078616677E-2</v>
      </c>
      <c r="AP33" s="99">
        <f t="shared" si="11"/>
        <v>5.8766862316408222E-2</v>
      </c>
      <c r="AQ33" s="99">
        <f t="shared" si="11"/>
        <v>5.0358610554199768E-2</v>
      </c>
      <c r="AR33" s="99">
        <f t="shared" si="11"/>
        <v>4.195035879199132E-2</v>
      </c>
      <c r="AS33" s="99">
        <f t="shared" si="11"/>
        <v>3.3542107029782865E-2</v>
      </c>
      <c r="AT33" s="99">
        <f t="shared" si="11"/>
        <v>2.5133855267574411E-2</v>
      </c>
      <c r="AU33" s="99">
        <f t="shared" si="11"/>
        <v>1.6725603505365959E-2</v>
      </c>
      <c r="AV33" s="99">
        <f t="shared" si="11"/>
        <v>8.3173517431575049E-3</v>
      </c>
      <c r="AW33" s="99">
        <f t="shared" si="11"/>
        <v>0</v>
      </c>
    </row>
    <row r="34" spans="1:49" outlineLevel="2">
      <c r="A34" s="261" t="s">
        <v>98</v>
      </c>
      <c r="B34" s="261"/>
      <c r="C34" s="261"/>
      <c r="D34" s="101"/>
      <c r="E34" s="101">
        <f t="shared" ref="E34" si="12">(E31-D31)/D31</f>
        <v>2.4312565997888037E-2</v>
      </c>
      <c r="F34" s="101">
        <f t="shared" ref="F34" si="13">(F31-E31)/E31</f>
        <v>2.3735495204242341E-2</v>
      </c>
      <c r="G34" s="101">
        <f t="shared" ref="G34" si="14">(G31-F31)/F31</f>
        <v>2.3185183394961745E-2</v>
      </c>
      <c r="H34" s="101">
        <f t="shared" ref="H34" si="15">(H31-G31)/G31</f>
        <v>2.2659811509420567E-2</v>
      </c>
      <c r="I34" s="101">
        <f t="shared" ref="I34" si="16">(I31-H31)/H31</f>
        <v>2.2157721711949827E-2</v>
      </c>
      <c r="J34" s="101">
        <f t="shared" ref="J34" si="17">(J31-I31)/I31</f>
        <v>0</v>
      </c>
      <c r="K34" s="101">
        <f t="shared" ref="K34:AW34" si="18">(K31-J31)/J31</f>
        <v>-7.5471698113207697E-2</v>
      </c>
      <c r="L34" s="101">
        <f t="shared" si="18"/>
        <v>-1.5306122448979437E-2</v>
      </c>
      <c r="M34" s="101">
        <f t="shared" si="18"/>
        <v>3.1088082901554213E-2</v>
      </c>
      <c r="N34" s="101">
        <f t="shared" si="18"/>
        <v>-5.9798994974874398E-2</v>
      </c>
      <c r="O34" s="101">
        <f t="shared" si="18"/>
        <v>-5.0774986638161226E-2</v>
      </c>
      <c r="P34" s="101">
        <f t="shared" si="18"/>
        <v>-1.6835585585585771E-2</v>
      </c>
      <c r="Q34" s="101">
        <f t="shared" si="18"/>
        <v>-0.1959223412175706</v>
      </c>
      <c r="R34" s="101">
        <f t="shared" si="18"/>
        <v>0.21509971509971518</v>
      </c>
      <c r="S34" s="101">
        <f t="shared" si="18"/>
        <v>-6.0691363728899501E-2</v>
      </c>
      <c r="T34" s="101">
        <f t="shared" si="18"/>
        <v>-6.4612802848097034E-2</v>
      </c>
      <c r="U34" s="101">
        <f t="shared" si="18"/>
        <v>-6.9075996597806957E-2</v>
      </c>
      <c r="V34" s="101">
        <f t="shared" si="18"/>
        <v>-7.4201542065043966E-2</v>
      </c>
      <c r="W34" s="101">
        <f t="shared" si="18"/>
        <v>-8.0148699135397725E-2</v>
      </c>
      <c r="X34" s="101">
        <f t="shared" si="18"/>
        <v>-8.7132234373167597E-2</v>
      </c>
      <c r="Y34" s="101">
        <f t="shared" si="18"/>
        <v>-9.5448911281621529E-2</v>
      </c>
      <c r="Z34" s="101">
        <f t="shared" si="18"/>
        <v>-0.10552075219638418</v>
      </c>
      <c r="AA34" s="101">
        <f t="shared" si="18"/>
        <v>-0.117968921532265</v>
      </c>
      <c r="AB34" s="101">
        <f t="shared" si="18"/>
        <v>-0.13374689896097616</v>
      </c>
      <c r="AC34" s="101">
        <f t="shared" si="18"/>
        <v>-0.15439702184102239</v>
      </c>
      <c r="AD34" s="101">
        <f t="shared" si="18"/>
        <v>0</v>
      </c>
      <c r="AE34" s="101">
        <f t="shared" si="18"/>
        <v>0</v>
      </c>
      <c r="AF34" s="101">
        <f t="shared" si="18"/>
        <v>0</v>
      </c>
      <c r="AG34" s="101">
        <f t="shared" si="18"/>
        <v>0</v>
      </c>
      <c r="AH34" s="101">
        <f t="shared" si="18"/>
        <v>0</v>
      </c>
      <c r="AI34" s="101">
        <f t="shared" si="18"/>
        <v>0</v>
      </c>
      <c r="AJ34" s="101">
        <f t="shared" si="18"/>
        <v>0</v>
      </c>
      <c r="AK34" s="101">
        <f t="shared" si="18"/>
        <v>0</v>
      </c>
      <c r="AL34" s="101">
        <f t="shared" si="18"/>
        <v>0</v>
      </c>
      <c r="AM34" s="101">
        <f t="shared" si="18"/>
        <v>0</v>
      </c>
      <c r="AN34" s="101">
        <f t="shared" si="18"/>
        <v>0</v>
      </c>
      <c r="AO34" s="101">
        <f t="shared" si="18"/>
        <v>0</v>
      </c>
      <c r="AP34" s="101">
        <f t="shared" si="18"/>
        <v>0</v>
      </c>
      <c r="AQ34" s="101">
        <f t="shared" si="18"/>
        <v>0</v>
      </c>
      <c r="AR34" s="101">
        <f t="shared" si="18"/>
        <v>0</v>
      </c>
      <c r="AS34" s="101">
        <f t="shared" si="18"/>
        <v>0</v>
      </c>
      <c r="AT34" s="101">
        <f t="shared" si="18"/>
        <v>0</v>
      </c>
      <c r="AU34" s="101">
        <f t="shared" si="18"/>
        <v>0</v>
      </c>
      <c r="AV34" s="101">
        <f t="shared" si="18"/>
        <v>0</v>
      </c>
      <c r="AW34" s="101">
        <f t="shared" si="18"/>
        <v>0</v>
      </c>
    </row>
    <row r="35" spans="1:49" outlineLevel="2">
      <c r="A35" s="261" t="s">
        <v>99</v>
      </c>
      <c r="B35" s="261"/>
      <c r="C35" s="261"/>
      <c r="D35" s="100"/>
      <c r="E35" s="100"/>
      <c r="F35" s="100"/>
      <c r="G35" s="100"/>
      <c r="H35" s="100"/>
      <c r="I35" s="100"/>
      <c r="J35" s="100"/>
      <c r="K35" s="100"/>
      <c r="L35" s="100"/>
      <c r="M35" s="100"/>
      <c r="N35" s="100"/>
      <c r="O35" s="100"/>
      <c r="P35" s="100"/>
      <c r="Q35" s="100"/>
      <c r="R35" s="100">
        <v>0</v>
      </c>
      <c r="S35" s="101">
        <f>(S31-$R$31)/$R$31</f>
        <v>-6.0691363728899501E-2</v>
      </c>
      <c r="T35" s="101">
        <f t="shared" ref="T35:AW35" si="19">(T31-$R$31)/$R$31</f>
        <v>-0.121382727457799</v>
      </c>
      <c r="U35" s="101">
        <f t="shared" si="19"/>
        <v>-0.18207409118669851</v>
      </c>
      <c r="V35" s="101">
        <f t="shared" si="19"/>
        <v>-0.24276545491559801</v>
      </c>
      <c r="W35" s="101">
        <f t="shared" si="19"/>
        <v>-0.30345681864449753</v>
      </c>
      <c r="X35" s="101">
        <f t="shared" si="19"/>
        <v>-0.36414818237339691</v>
      </c>
      <c r="Y35" s="101">
        <f t="shared" si="19"/>
        <v>-0.42483954610229635</v>
      </c>
      <c r="Z35" s="101">
        <f t="shared" si="19"/>
        <v>-0.48553090983119579</v>
      </c>
      <c r="AA35" s="101">
        <f t="shared" si="19"/>
        <v>-0.54622227356009523</v>
      </c>
      <c r="AB35" s="101">
        <f t="shared" si="19"/>
        <v>-0.60691363728899461</v>
      </c>
      <c r="AC35" s="101">
        <f t="shared" si="19"/>
        <v>-0.66760500101789377</v>
      </c>
      <c r="AD35" s="101">
        <f t="shared" si="19"/>
        <v>-0.66760500101789377</v>
      </c>
      <c r="AE35" s="101">
        <f t="shared" si="19"/>
        <v>-0.66760500101789377</v>
      </c>
      <c r="AF35" s="101">
        <f t="shared" si="19"/>
        <v>-0.66760500101789377</v>
      </c>
      <c r="AG35" s="101">
        <f t="shared" si="19"/>
        <v>-0.66760500101789377</v>
      </c>
      <c r="AH35" s="101">
        <f t="shared" si="19"/>
        <v>-0.66760500101789377</v>
      </c>
      <c r="AI35" s="101">
        <f t="shared" si="19"/>
        <v>-0.66760500101789377</v>
      </c>
      <c r="AJ35" s="101">
        <f t="shared" si="19"/>
        <v>-0.66760500101789377</v>
      </c>
      <c r="AK35" s="101">
        <f t="shared" si="19"/>
        <v>-0.66760500101789377</v>
      </c>
      <c r="AL35" s="101">
        <f t="shared" si="19"/>
        <v>-0.66760500101789377</v>
      </c>
      <c r="AM35" s="101">
        <f t="shared" si="19"/>
        <v>-0.66760500101789377</v>
      </c>
      <c r="AN35" s="101">
        <f t="shared" si="19"/>
        <v>-0.66760500101789377</v>
      </c>
      <c r="AO35" s="101">
        <f t="shared" si="19"/>
        <v>-0.66760500101789377</v>
      </c>
      <c r="AP35" s="101">
        <f t="shared" si="19"/>
        <v>-0.66760500101789377</v>
      </c>
      <c r="AQ35" s="101">
        <f t="shared" si="19"/>
        <v>-0.66760500101789377</v>
      </c>
      <c r="AR35" s="101">
        <f t="shared" si="19"/>
        <v>-0.66760500101789377</v>
      </c>
      <c r="AS35" s="101">
        <f t="shared" si="19"/>
        <v>-0.66760500101789377</v>
      </c>
      <c r="AT35" s="101">
        <f t="shared" si="19"/>
        <v>-0.66760500101789377</v>
      </c>
      <c r="AU35" s="101">
        <f t="shared" si="19"/>
        <v>-0.66760500101789377</v>
      </c>
      <c r="AV35" s="101">
        <f t="shared" si="19"/>
        <v>-0.66760500101789377</v>
      </c>
      <c r="AW35" s="101">
        <f t="shared" si="19"/>
        <v>-0.66760500101789377</v>
      </c>
    </row>
    <row r="36" spans="1:49" outlineLevel="2">
      <c r="A36" s="261" t="s">
        <v>100</v>
      </c>
      <c r="B36" s="261"/>
      <c r="C36" s="261"/>
      <c r="D36" s="100"/>
      <c r="E36" s="101">
        <f>(E33-D33)/D33</f>
        <v>-7.0308274743103279E-3</v>
      </c>
      <c r="F36" s="101">
        <f t="shared" ref="F36:AW36" si="20">(F33-E33)/E33</f>
        <v>-4.6840958605664465E-2</v>
      </c>
      <c r="G36" s="101">
        <f t="shared" si="20"/>
        <v>-5.9428571428571601E-2</v>
      </c>
      <c r="H36" s="101">
        <f t="shared" si="20"/>
        <v>-1.8226002430133476E-2</v>
      </c>
      <c r="I36" s="101">
        <f t="shared" si="20"/>
        <v>3.1559405940594025E-2</v>
      </c>
      <c r="J36" s="101">
        <f t="shared" si="20"/>
        <v>-3.2393521295740905E-2</v>
      </c>
      <c r="K36" s="101">
        <f t="shared" si="20"/>
        <v>-4.2777433353998799E-2</v>
      </c>
      <c r="L36" s="101">
        <f t="shared" si="20"/>
        <v>-1.489637305699478E-2</v>
      </c>
      <c r="M36" s="101">
        <f t="shared" si="20"/>
        <v>-4.536489151873771E-2</v>
      </c>
      <c r="N36" s="101">
        <f t="shared" si="20"/>
        <v>4.8209366391184592E-3</v>
      </c>
      <c r="O36" s="101">
        <f t="shared" si="20"/>
        <v>-0.10349554489376279</v>
      </c>
      <c r="P36" s="101">
        <f t="shared" si="20"/>
        <v>-5.0484709480129789E-4</v>
      </c>
      <c r="Q36" s="101">
        <f t="shared" si="20"/>
        <v>-6.9139121810165127E-2</v>
      </c>
      <c r="R36" s="101">
        <f t="shared" si="20"/>
        <v>-6.9904693504280191E-2</v>
      </c>
      <c r="S36" s="101">
        <f t="shared" si="20"/>
        <v>-4.6049882808231829E-2</v>
      </c>
      <c r="T36" s="101">
        <f t="shared" si="20"/>
        <v>-1.8612776643068658E-2</v>
      </c>
      <c r="U36" s="101">
        <f t="shared" si="20"/>
        <v>-7.2335588078723742E-2</v>
      </c>
      <c r="V36" s="101">
        <f t="shared" si="20"/>
        <v>-7.7976030069872318E-2</v>
      </c>
      <c r="W36" s="101">
        <f t="shared" si="20"/>
        <v>-8.457050208334764E-2</v>
      </c>
      <c r="X36" s="101">
        <f t="shared" si="20"/>
        <v>-9.2383413770054823E-2</v>
      </c>
      <c r="Y36" s="101">
        <f t="shared" si="20"/>
        <v>-0.10178682846001813</v>
      </c>
      <c r="Z36" s="101">
        <f t="shared" si="20"/>
        <v>-0.11332146052312425</v>
      </c>
      <c r="AA36" s="101">
        <f t="shared" si="20"/>
        <v>-0.12780444713366085</v>
      </c>
      <c r="AB36" s="101">
        <f t="shared" si="20"/>
        <v>-0.14653187202531703</v>
      </c>
      <c r="AC36" s="101">
        <f t="shared" si="20"/>
        <v>-0.17168991700177882</v>
      </c>
      <c r="AD36" s="101">
        <f t="shared" si="20"/>
        <v>-5.0027041644131909E-2</v>
      </c>
      <c r="AE36" s="101">
        <f t="shared" si="20"/>
        <v>-5.2661542840876679E-2</v>
      </c>
      <c r="AF36" s="101">
        <f t="shared" si="20"/>
        <v>-5.5588942307692422E-2</v>
      </c>
      <c r="AG36" s="101">
        <f t="shared" si="20"/>
        <v>-5.8860960865415139E-2</v>
      </c>
      <c r="AH36" s="101">
        <f t="shared" si="20"/>
        <v>-6.2542258282623525E-2</v>
      </c>
      <c r="AI36" s="101">
        <f t="shared" si="20"/>
        <v>-6.6714749368914458E-2</v>
      </c>
      <c r="AJ36" s="101">
        <f t="shared" si="20"/>
        <v>-7.1483771251932032E-2</v>
      </c>
      <c r="AK36" s="101">
        <f t="shared" si="20"/>
        <v>-7.6987099459009611E-2</v>
      </c>
      <c r="AL36" s="101">
        <f t="shared" si="20"/>
        <v>-8.3408476104598783E-2</v>
      </c>
      <c r="AM36" s="101">
        <f t="shared" si="20"/>
        <v>-9.0998524348253867E-2</v>
      </c>
      <c r="AN36" s="101">
        <f t="shared" si="20"/>
        <v>-0.10010822510822517</v>
      </c>
      <c r="AO36" s="101">
        <f t="shared" si="20"/>
        <v>-0.11124473842453406</v>
      </c>
      <c r="AP36" s="101">
        <f t="shared" si="20"/>
        <v>-0.12516914749661714</v>
      </c>
      <c r="AQ36" s="101">
        <f t="shared" si="20"/>
        <v>-0.14307811291570005</v>
      </c>
      <c r="AR36" s="101">
        <f t="shared" si="20"/>
        <v>-0.1669675090252708</v>
      </c>
      <c r="AS36" s="101">
        <f t="shared" si="20"/>
        <v>-0.20043336944745418</v>
      </c>
      <c r="AT36" s="101">
        <f t="shared" si="20"/>
        <v>-0.25067750677506812</v>
      </c>
      <c r="AU36" s="101">
        <f t="shared" si="20"/>
        <v>-0.33453887884267686</v>
      </c>
      <c r="AV36" s="101">
        <f t="shared" si="20"/>
        <v>-0.50271739130434923</v>
      </c>
      <c r="AW36" s="101">
        <f t="shared" si="20"/>
        <v>-1</v>
      </c>
    </row>
    <row r="37" spans="1:49" outlineLevel="2">
      <c r="A37" s="261" t="s">
        <v>101</v>
      </c>
      <c r="B37" s="261"/>
      <c r="C37" s="261"/>
      <c r="D37" s="100"/>
      <c r="E37" s="100"/>
      <c r="F37" s="100"/>
      <c r="G37" s="100"/>
      <c r="H37" s="100"/>
      <c r="I37" s="100"/>
      <c r="J37" s="100"/>
      <c r="K37" s="100"/>
      <c r="L37" s="100"/>
      <c r="M37" s="100"/>
      <c r="N37" s="100"/>
      <c r="O37" s="100"/>
      <c r="P37" s="100"/>
      <c r="Q37" s="100"/>
      <c r="R37" s="100">
        <v>0</v>
      </c>
      <c r="S37" s="101">
        <f>(S33-$R$33)/$R$33</f>
        <v>-4.6049882808231829E-2</v>
      </c>
      <c r="T37" s="101">
        <f t="shared" ref="T37:AW37" si="21">(T33-$R$33)/$R$33</f>
        <v>-6.3805543268151382E-2</v>
      </c>
      <c r="U37" s="101">
        <f t="shared" si="21"/>
        <v>-0.13152571985189093</v>
      </c>
      <c r="V37" s="101">
        <f t="shared" si="21"/>
        <v>-0.19924589643563062</v>
      </c>
      <c r="W37" s="101">
        <f t="shared" si="21"/>
        <v>-0.26696607301937031</v>
      </c>
      <c r="X37" s="101">
        <f t="shared" si="21"/>
        <v>-0.33468624960310994</v>
      </c>
      <c r="Y37" s="101">
        <f t="shared" si="21"/>
        <v>-0.40240642618684952</v>
      </c>
      <c r="Z37" s="101">
        <f t="shared" si="21"/>
        <v>-0.47012660277058921</v>
      </c>
      <c r="AA37" s="101">
        <f t="shared" si="21"/>
        <v>-0.53784677935432867</v>
      </c>
      <c r="AB37" s="101">
        <f t="shared" si="21"/>
        <v>-0.60556695593806831</v>
      </c>
      <c r="AC37" s="101">
        <f t="shared" si="21"/>
        <v>-0.67328713253582029</v>
      </c>
      <c r="AD37" s="101">
        <f t="shared" si="21"/>
        <v>-0.68963161076212465</v>
      </c>
      <c r="AE37" s="101">
        <f t="shared" si="21"/>
        <v>-0.7059760889884289</v>
      </c>
      <c r="AF37" s="101">
        <f t="shared" si="21"/>
        <v>-0.72232056721473314</v>
      </c>
      <c r="AG37" s="101">
        <f t="shared" si="21"/>
        <v>-0.7386650454410375</v>
      </c>
      <c r="AH37" s="101">
        <f t="shared" si="21"/>
        <v>-0.75500952366734175</v>
      </c>
      <c r="AI37" s="101">
        <f t="shared" si="21"/>
        <v>-0.771354001893646</v>
      </c>
      <c r="AJ37" s="101">
        <f t="shared" si="21"/>
        <v>-0.78769848011995025</v>
      </c>
      <c r="AK37" s="101">
        <f t="shared" si="21"/>
        <v>-0.8040429583462545</v>
      </c>
      <c r="AL37" s="101">
        <f t="shared" si="21"/>
        <v>-0.82038743657255897</v>
      </c>
      <c r="AM37" s="101">
        <f t="shared" si="21"/>
        <v>-0.83673191479886322</v>
      </c>
      <c r="AN37" s="101">
        <f t="shared" si="21"/>
        <v>-0.85307639302516747</v>
      </c>
      <c r="AO37" s="101">
        <f t="shared" si="21"/>
        <v>-0.86942087125147183</v>
      </c>
      <c r="AP37" s="101">
        <f t="shared" si="21"/>
        <v>-0.88576534947777608</v>
      </c>
      <c r="AQ37" s="101">
        <f t="shared" si="21"/>
        <v>-0.90210982770408032</v>
      </c>
      <c r="AR37" s="101">
        <f t="shared" si="21"/>
        <v>-0.91845430593038457</v>
      </c>
      <c r="AS37" s="101">
        <f t="shared" si="21"/>
        <v>-0.93479878415668893</v>
      </c>
      <c r="AT37" s="101">
        <f t="shared" si="21"/>
        <v>-0.95114326238299329</v>
      </c>
      <c r="AU37" s="101">
        <f t="shared" si="21"/>
        <v>-0.96748774060929754</v>
      </c>
      <c r="AV37" s="101">
        <f t="shared" si="21"/>
        <v>-0.98383221883560179</v>
      </c>
      <c r="AW37" s="101">
        <f t="shared" si="21"/>
        <v>-1</v>
      </c>
    </row>
    <row r="38" spans="1:49" ht="15.75" outlineLevel="1">
      <c r="A38" s="264" t="s">
        <v>117</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6"/>
    </row>
    <row r="39" spans="1:49" ht="15.75" outlineLevel="2">
      <c r="A39" s="267"/>
      <c r="B39" s="268"/>
      <c r="C39" s="269"/>
      <c r="D39" s="94">
        <v>2019</v>
      </c>
      <c r="E39" s="94">
        <v>2020</v>
      </c>
      <c r="F39" s="94">
        <v>2021</v>
      </c>
      <c r="G39" s="94">
        <v>2022</v>
      </c>
      <c r="H39" s="94">
        <v>2023</v>
      </c>
      <c r="I39" s="94">
        <v>2024</v>
      </c>
      <c r="J39" s="94">
        <v>2025</v>
      </c>
      <c r="K39" s="94">
        <v>2026</v>
      </c>
      <c r="L39" s="94">
        <v>2027</v>
      </c>
      <c r="M39" s="94">
        <v>2028</v>
      </c>
      <c r="N39" s="94">
        <v>2029</v>
      </c>
      <c r="O39" s="94">
        <v>2030</v>
      </c>
      <c r="P39" s="94">
        <v>2031</v>
      </c>
      <c r="Q39" s="94">
        <v>2032</v>
      </c>
      <c r="R39" s="94">
        <v>2033</v>
      </c>
      <c r="S39" s="94">
        <v>2034</v>
      </c>
      <c r="T39" s="94">
        <v>2035</v>
      </c>
      <c r="U39" s="94">
        <v>2036</v>
      </c>
      <c r="V39" s="94">
        <v>2037</v>
      </c>
      <c r="W39" s="94">
        <v>2038</v>
      </c>
      <c r="X39" s="94">
        <v>2039</v>
      </c>
      <c r="Y39" s="94">
        <v>2040</v>
      </c>
      <c r="Z39" s="94">
        <v>2041</v>
      </c>
      <c r="AA39" s="94">
        <v>2042</v>
      </c>
      <c r="AB39" s="94">
        <v>2043</v>
      </c>
      <c r="AC39" s="94">
        <v>2044</v>
      </c>
      <c r="AD39" s="94">
        <v>2045</v>
      </c>
      <c r="AE39" s="94">
        <v>2046</v>
      </c>
      <c r="AF39" s="94">
        <v>2047</v>
      </c>
      <c r="AG39" s="94">
        <v>2048</v>
      </c>
      <c r="AH39" s="94">
        <v>2049</v>
      </c>
      <c r="AI39" s="94">
        <v>2050</v>
      </c>
    </row>
    <row r="40" spans="1:49" outlineLevel="2">
      <c r="A40" s="261" t="s">
        <v>118</v>
      </c>
      <c r="B40" s="261"/>
      <c r="C40" s="261"/>
      <c r="D40" s="101">
        <v>0</v>
      </c>
      <c r="E40" s="101">
        <v>0</v>
      </c>
      <c r="F40" s="101">
        <f>($Y$40-$E$40)/($Y$39-$E$39)</f>
        <v>0.05</v>
      </c>
      <c r="G40" s="101">
        <f t="shared" ref="G40:X40" si="22">($Y$40-$E$40)/($Y$39-$E$39)+F40</f>
        <v>0.1</v>
      </c>
      <c r="H40" s="101">
        <f t="shared" si="22"/>
        <v>0.15000000000000002</v>
      </c>
      <c r="I40" s="101">
        <f t="shared" si="22"/>
        <v>0.2</v>
      </c>
      <c r="J40" s="101">
        <f t="shared" si="22"/>
        <v>0.25</v>
      </c>
      <c r="K40" s="101">
        <f t="shared" si="22"/>
        <v>0.3</v>
      </c>
      <c r="L40" s="101">
        <f t="shared" si="22"/>
        <v>0.35</v>
      </c>
      <c r="M40" s="101">
        <f t="shared" si="22"/>
        <v>0.39999999999999997</v>
      </c>
      <c r="N40" s="101">
        <f t="shared" si="22"/>
        <v>0.44999999999999996</v>
      </c>
      <c r="O40" s="101">
        <f t="shared" si="22"/>
        <v>0.49999999999999994</v>
      </c>
      <c r="P40" s="101">
        <f t="shared" si="22"/>
        <v>0.54999999999999993</v>
      </c>
      <c r="Q40" s="101">
        <f t="shared" si="22"/>
        <v>0.6</v>
      </c>
      <c r="R40" s="101">
        <f t="shared" si="22"/>
        <v>0.65</v>
      </c>
      <c r="S40" s="101">
        <f t="shared" si="22"/>
        <v>0.70000000000000007</v>
      </c>
      <c r="T40" s="101">
        <f t="shared" si="22"/>
        <v>0.75000000000000011</v>
      </c>
      <c r="U40" s="101">
        <f t="shared" si="22"/>
        <v>0.80000000000000016</v>
      </c>
      <c r="V40" s="101">
        <f t="shared" si="22"/>
        <v>0.8500000000000002</v>
      </c>
      <c r="W40" s="101">
        <f t="shared" si="22"/>
        <v>0.90000000000000024</v>
      </c>
      <c r="X40" s="101">
        <f t="shared" si="22"/>
        <v>0.95000000000000029</v>
      </c>
      <c r="Y40" s="101">
        <v>1</v>
      </c>
      <c r="Z40" s="101">
        <v>1</v>
      </c>
      <c r="AA40" s="101">
        <v>1</v>
      </c>
      <c r="AB40" s="101">
        <v>1</v>
      </c>
      <c r="AC40" s="101">
        <v>1</v>
      </c>
      <c r="AD40" s="101">
        <v>1</v>
      </c>
      <c r="AE40" s="101">
        <v>1</v>
      </c>
      <c r="AF40" s="101">
        <v>1</v>
      </c>
      <c r="AG40" s="101">
        <v>1</v>
      </c>
      <c r="AH40" s="101">
        <v>1</v>
      </c>
      <c r="AI40" s="101">
        <v>1</v>
      </c>
    </row>
    <row r="41" spans="1:49" ht="15.75" outlineLevel="1">
      <c r="A41" s="284" t="s">
        <v>224</v>
      </c>
      <c r="B41" s="285"/>
      <c r="C41" s="285"/>
      <c r="D41" s="286"/>
    </row>
    <row r="42" spans="1:49" ht="31.5" outlineLevel="1">
      <c r="A42" s="267"/>
      <c r="B42" s="268"/>
      <c r="C42" s="269"/>
      <c r="D42" s="229" t="s">
        <v>230</v>
      </c>
      <c r="E42" s="230"/>
    </row>
    <row r="43" spans="1:49">
      <c r="A43" s="261" t="s">
        <v>234</v>
      </c>
      <c r="B43" s="261"/>
      <c r="C43" s="290"/>
      <c r="D43" s="231">
        <f>'Business As Usual'!$D$63/'Business As Usual'!$D$49</f>
        <v>5.4386355100747304E-2</v>
      </c>
      <c r="E43" s="230"/>
    </row>
    <row r="44" spans="1:49">
      <c r="A44" s="261" t="s">
        <v>235</v>
      </c>
      <c r="B44" s="261"/>
      <c r="C44" s="290"/>
      <c r="D44" s="231">
        <v>0.25242622301445833</v>
      </c>
      <c r="E44" s="234"/>
    </row>
    <row r="45" spans="1:49">
      <c r="A45" s="261" t="s">
        <v>229</v>
      </c>
      <c r="B45" s="261"/>
      <c r="C45" s="290"/>
      <c r="D45" s="232">
        <f>'Business As Usual'!$D$64/'Business As Usual'!$D$50</f>
        <v>7.4756736526946102E-2</v>
      </c>
    </row>
  </sheetData>
  <mergeCells count="40">
    <mergeCell ref="A37:C37"/>
    <mergeCell ref="A32:C32"/>
    <mergeCell ref="A33:C33"/>
    <mergeCell ref="A34:C34"/>
    <mergeCell ref="A40:C40"/>
    <mergeCell ref="A39:C39"/>
    <mergeCell ref="A38:AI38"/>
    <mergeCell ref="A41:D41"/>
    <mergeCell ref="A43:C43"/>
    <mergeCell ref="A45:C45"/>
    <mergeCell ref="A42:C42"/>
    <mergeCell ref="A44:C44"/>
    <mergeCell ref="A3:D3"/>
    <mergeCell ref="I5:P7"/>
    <mergeCell ref="F3:P3"/>
    <mergeCell ref="I4:P4"/>
    <mergeCell ref="A10:T10"/>
    <mergeCell ref="A11:T11"/>
    <mergeCell ref="A19:AI19"/>
    <mergeCell ref="A20:C20"/>
    <mergeCell ref="A29:AW29"/>
    <mergeCell ref="A30:C30"/>
    <mergeCell ref="A26:C26"/>
    <mergeCell ref="A27:C27"/>
    <mergeCell ref="A22:C22"/>
    <mergeCell ref="A25:C25"/>
    <mergeCell ref="A23:C23"/>
    <mergeCell ref="A24:C24"/>
    <mergeCell ref="A18:T18"/>
    <mergeCell ref="A21:C21"/>
    <mergeCell ref="A28:C28"/>
    <mergeCell ref="A35:C35"/>
    <mergeCell ref="A36:C36"/>
    <mergeCell ref="A17:T17"/>
    <mergeCell ref="A12:T12"/>
    <mergeCell ref="A13:T13"/>
    <mergeCell ref="A14:T14"/>
    <mergeCell ref="A15:T15"/>
    <mergeCell ref="A16:T16"/>
    <mergeCell ref="A31:C31"/>
  </mergeCells>
  <pageMargins left="0.7" right="0.7" top="0.75" bottom="0.75" header="0.3" footer="0.3"/>
  <pageSetup orientation="portrait" r:id="rId1"/>
  <ignoredErrors>
    <ignoredError sqref="E23:AI2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6A81C"/>
  </sheetPr>
  <dimension ref="A1:AV79"/>
  <sheetViews>
    <sheetView zoomScale="80" zoomScaleNormal="80" workbookViewId="0">
      <selection activeCell="E63" sqref="E63"/>
    </sheetView>
  </sheetViews>
  <sheetFormatPr defaultColWidth="8.44140625" defaultRowHeight="15" outlineLevelRow="2"/>
  <cols>
    <col min="1" max="1" width="20.33203125" style="29" customWidth="1"/>
    <col min="2" max="2" width="11.33203125" style="29" customWidth="1"/>
    <col min="3" max="3" width="43.6640625" style="29" customWidth="1"/>
    <col min="4" max="4" width="13.44140625" style="29" customWidth="1"/>
    <col min="5" max="5" width="14.33203125" style="29" customWidth="1"/>
    <col min="6" max="6" width="12.44140625" style="29" customWidth="1"/>
    <col min="7" max="35" width="12.33203125" style="29" customWidth="1"/>
    <col min="36" max="36" width="10.6640625" style="29" customWidth="1"/>
    <col min="37" max="16384" width="8.44140625" style="29"/>
  </cols>
  <sheetData>
    <row r="1" spans="1:35" s="2" customFormat="1" ht="25.5">
      <c r="A1" s="303" t="s">
        <v>0</v>
      </c>
      <c r="B1" s="303"/>
      <c r="C1" s="303"/>
      <c r="D1" s="303"/>
      <c r="E1" s="303"/>
      <c r="F1" s="303"/>
      <c r="G1" s="303"/>
      <c r="H1" s="303"/>
      <c r="I1" s="1"/>
      <c r="J1" s="1"/>
      <c r="K1" s="1"/>
      <c r="L1" s="1"/>
      <c r="M1" s="1"/>
      <c r="N1" s="1"/>
      <c r="O1" s="1"/>
      <c r="P1" s="1"/>
      <c r="Q1" s="1"/>
      <c r="R1" s="1"/>
      <c r="S1" s="1"/>
      <c r="T1" s="1"/>
      <c r="U1" s="1"/>
      <c r="V1" s="1"/>
      <c r="W1" s="1"/>
      <c r="X1" s="1"/>
      <c r="Y1" s="1"/>
      <c r="Z1" s="1"/>
      <c r="AA1" s="1"/>
      <c r="AB1" s="1"/>
      <c r="AC1" s="1"/>
      <c r="AD1" s="1"/>
      <c r="AE1" s="1"/>
      <c r="AF1" s="1"/>
      <c r="AG1" s="1"/>
      <c r="AH1" s="1"/>
      <c r="AI1" s="1"/>
    </row>
    <row r="2" spans="1:35" s="4" customFormat="1" ht="20.25">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s="2" customFormat="1" ht="14.25">
      <c r="A3" s="5"/>
      <c r="B3" s="5"/>
      <c r="C3" s="5"/>
      <c r="D3" s="6"/>
      <c r="E3" s="5"/>
      <c r="F3" s="7"/>
      <c r="L3" s="7"/>
    </row>
    <row r="4" spans="1:35" s="2" customFormat="1" ht="14.25">
      <c r="A4" s="5"/>
      <c r="B4" s="5"/>
      <c r="C4" s="5"/>
      <c r="D4" s="6"/>
      <c r="E4" s="5"/>
      <c r="F4" s="7"/>
      <c r="L4" s="7"/>
    </row>
    <row r="5" spans="1:35" s="2" customFormat="1" ht="14.25">
      <c r="A5" s="5"/>
      <c r="B5" s="5"/>
      <c r="C5" s="5"/>
      <c r="D5" s="6"/>
      <c r="E5" s="5"/>
      <c r="F5" s="7"/>
      <c r="L5" s="7"/>
    </row>
    <row r="6" spans="1:35" s="2" customFormat="1" ht="14.25">
      <c r="A6" s="5"/>
      <c r="B6" s="5"/>
      <c r="C6" s="5"/>
      <c r="D6" s="6"/>
      <c r="E6" s="5"/>
      <c r="F6" s="7"/>
      <c r="L6" s="7"/>
    </row>
    <row r="7" spans="1:35" s="2" customFormat="1" ht="14.25">
      <c r="A7" s="5"/>
      <c r="B7" s="5"/>
      <c r="C7" s="5"/>
      <c r="D7" s="6"/>
      <c r="E7" s="5"/>
      <c r="F7" s="7"/>
      <c r="L7" s="7"/>
    </row>
    <row r="8" spans="1:35" s="2" customFormat="1" ht="14.25">
      <c r="A8" s="5"/>
      <c r="B8" s="5"/>
      <c r="C8" s="5"/>
      <c r="D8" s="6"/>
      <c r="E8" s="5"/>
      <c r="F8" s="7"/>
      <c r="L8" s="7"/>
    </row>
    <row r="9" spans="1:35" s="2" customFormat="1" ht="14.25">
      <c r="A9" s="5"/>
      <c r="B9" s="5"/>
      <c r="C9" s="5"/>
      <c r="D9" s="6"/>
      <c r="E9" s="5"/>
      <c r="F9" s="7"/>
      <c r="L9" s="7"/>
    </row>
    <row r="10" spans="1:35" s="2" customFormat="1" ht="65.45" customHeight="1">
      <c r="A10" s="5"/>
      <c r="B10" s="5"/>
      <c r="C10" s="5"/>
      <c r="D10" s="6"/>
      <c r="E10" s="5"/>
      <c r="F10" s="7"/>
      <c r="L10" s="7"/>
    </row>
    <row r="11" spans="1:35" s="2" customFormat="1" ht="14.25">
      <c r="A11" s="5"/>
      <c r="B11" s="5"/>
      <c r="C11" s="5"/>
      <c r="D11" s="6"/>
      <c r="E11" s="5"/>
      <c r="F11" s="7"/>
      <c r="L11" s="7"/>
    </row>
    <row r="12" spans="1:35" s="2" customFormat="1" ht="14.25">
      <c r="A12" s="5"/>
      <c r="B12" s="5"/>
      <c r="C12" s="5"/>
      <c r="D12" s="6"/>
      <c r="E12" s="5"/>
      <c r="F12" s="7"/>
      <c r="L12" s="7"/>
    </row>
    <row r="13" spans="1:35" s="2" customFormat="1" ht="14.25">
      <c r="A13" s="5"/>
      <c r="B13" s="5"/>
      <c r="C13" s="5"/>
      <c r="D13" s="6"/>
      <c r="E13" s="5"/>
      <c r="F13" s="7"/>
      <c r="L13" s="7"/>
    </row>
    <row r="14" spans="1:35" s="2" customFormat="1" ht="14.25">
      <c r="A14" s="5"/>
      <c r="B14" s="5"/>
      <c r="C14" s="5"/>
      <c r="D14" s="6"/>
      <c r="E14" s="5"/>
      <c r="F14" s="7"/>
      <c r="L14" s="7"/>
    </row>
    <row r="15" spans="1:35" s="2" customFormat="1" ht="14.25">
      <c r="A15" s="5"/>
      <c r="B15" s="5"/>
      <c r="C15" s="5"/>
      <c r="D15" s="6"/>
      <c r="E15" s="5"/>
      <c r="F15" s="7"/>
      <c r="L15" s="7"/>
    </row>
    <row r="16" spans="1:35" s="2" customFormat="1" ht="14.25">
      <c r="A16" s="5"/>
      <c r="B16" s="5"/>
      <c r="C16" s="5"/>
      <c r="D16" s="6"/>
      <c r="E16" s="5"/>
      <c r="F16" s="7"/>
      <c r="L16" s="7"/>
    </row>
    <row r="17" spans="1:35" s="2" customFormat="1" ht="14.25">
      <c r="A17" s="5"/>
      <c r="B17" s="5"/>
      <c r="C17" s="5"/>
      <c r="D17" s="6"/>
      <c r="E17" s="5"/>
      <c r="F17" s="7"/>
      <c r="L17" s="7"/>
    </row>
    <row r="18" spans="1:35" s="2" customFormat="1" ht="14.25">
      <c r="A18" s="5"/>
      <c r="B18" s="5"/>
      <c r="C18" s="5"/>
      <c r="D18" s="6"/>
      <c r="E18" s="5"/>
      <c r="F18" s="7"/>
      <c r="L18" s="7"/>
    </row>
    <row r="19" spans="1:35" s="2" customFormat="1" ht="14.25">
      <c r="A19" s="5"/>
      <c r="B19" s="5"/>
      <c r="C19" s="5"/>
      <c r="D19" s="6"/>
      <c r="E19" s="5"/>
      <c r="F19" s="7"/>
      <c r="L19" s="7"/>
    </row>
    <row r="20" spans="1:35" s="2" customFormat="1" ht="14.25">
      <c r="A20" s="5"/>
      <c r="B20" s="5"/>
      <c r="C20" s="5"/>
      <c r="D20" s="6"/>
      <c r="E20" s="5"/>
      <c r="F20" s="7"/>
      <c r="L20" s="7"/>
    </row>
    <row r="21" spans="1:35" s="2" customFormat="1" ht="14.25">
      <c r="A21" s="5"/>
      <c r="B21" s="5"/>
      <c r="C21" s="5"/>
      <c r="D21" s="6"/>
      <c r="E21" s="5"/>
      <c r="F21" s="7"/>
      <c r="L21" s="7"/>
    </row>
    <row r="22" spans="1:35" s="2" customFormat="1" ht="14.25">
      <c r="A22" s="5"/>
      <c r="B22" s="5"/>
      <c r="C22" s="5"/>
      <c r="D22" s="6"/>
      <c r="E22" s="5"/>
      <c r="F22" s="7"/>
      <c r="L22" s="7"/>
    </row>
    <row r="23" spans="1:35" s="2" customFormat="1" ht="89.45" customHeight="1">
      <c r="A23" s="5"/>
      <c r="B23" s="5"/>
      <c r="C23" s="5"/>
      <c r="D23" s="6"/>
      <c r="E23" s="5"/>
      <c r="F23" s="7"/>
      <c r="L23" s="7"/>
    </row>
    <row r="24" spans="1:35" s="4" customFormat="1" ht="20.25">
      <c r="A24" s="3" t="s">
        <v>2</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s="4" customFormat="1" ht="15.75" outlineLevel="1">
      <c r="A25" s="176" t="s">
        <v>201</v>
      </c>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8"/>
    </row>
    <row r="26" spans="1:35" s="2" customFormat="1" ht="42" customHeight="1" outlineLevel="2">
      <c r="A26" s="304" t="s">
        <v>233</v>
      </c>
      <c r="B26" s="304"/>
      <c r="C26" s="304"/>
      <c r="D26" s="304"/>
      <c r="E26" s="304"/>
      <c r="F26" s="304"/>
      <c r="G26" s="304"/>
      <c r="H26" s="304"/>
      <c r="I26" s="304"/>
      <c r="J26" s="304"/>
      <c r="K26" s="304"/>
      <c r="L26" s="304"/>
      <c r="M26" s="304"/>
      <c r="N26" s="304"/>
      <c r="O26" s="304"/>
      <c r="P26" s="304"/>
    </row>
    <row r="27" spans="1:35" s="2" customFormat="1" ht="14.25" outlineLevel="2">
      <c r="A27" s="304" t="s">
        <v>231</v>
      </c>
      <c r="B27" s="304"/>
      <c r="C27" s="304"/>
      <c r="D27" s="304"/>
      <c r="E27" s="304"/>
      <c r="F27" s="304"/>
      <c r="G27" s="304"/>
      <c r="H27" s="304"/>
      <c r="I27" s="304"/>
      <c r="J27" s="304"/>
      <c r="K27" s="304"/>
      <c r="L27" s="304"/>
      <c r="M27" s="304"/>
      <c r="N27" s="304"/>
      <c r="O27" s="304"/>
      <c r="P27" s="304"/>
    </row>
    <row r="28" spans="1:35" s="2" customFormat="1" ht="14.25" outlineLevel="2">
      <c r="A28" s="304" t="s">
        <v>3</v>
      </c>
      <c r="B28" s="304"/>
      <c r="C28" s="304"/>
      <c r="D28" s="304"/>
      <c r="E28" s="304"/>
      <c r="F28" s="304"/>
      <c r="G28" s="304"/>
      <c r="H28" s="304"/>
      <c r="I28" s="304"/>
      <c r="J28" s="304"/>
      <c r="K28" s="304"/>
      <c r="L28" s="304"/>
      <c r="M28" s="304"/>
      <c r="N28" s="304"/>
      <c r="O28" s="304"/>
      <c r="P28" s="304"/>
      <c r="Q28" s="8"/>
      <c r="R28" s="8"/>
    </row>
    <row r="29" spans="1:35" s="2" customFormat="1" ht="14.25" outlineLevel="2">
      <c r="A29" s="304" t="s">
        <v>223</v>
      </c>
      <c r="B29" s="304"/>
      <c r="C29" s="304"/>
      <c r="D29" s="304"/>
      <c r="E29" s="304"/>
      <c r="F29" s="304"/>
      <c r="G29" s="304"/>
      <c r="H29" s="304"/>
      <c r="I29" s="304"/>
      <c r="J29" s="304"/>
      <c r="K29" s="304"/>
      <c r="L29" s="304"/>
      <c r="M29" s="304"/>
      <c r="N29" s="304"/>
      <c r="O29" s="304"/>
      <c r="P29" s="304"/>
      <c r="Q29" s="8"/>
      <c r="R29" s="8"/>
    </row>
    <row r="30" spans="1:35" s="2" customFormat="1" ht="14.25" outlineLevel="2">
      <c r="A30" s="304" t="s">
        <v>210</v>
      </c>
      <c r="B30" s="304"/>
      <c r="C30" s="304"/>
      <c r="D30" s="304"/>
      <c r="E30" s="304"/>
      <c r="F30" s="304"/>
      <c r="G30" s="304"/>
      <c r="H30" s="304"/>
      <c r="I30" s="304"/>
      <c r="J30" s="304"/>
      <c r="K30" s="304"/>
      <c r="L30" s="304"/>
      <c r="M30" s="304"/>
      <c r="N30" s="304"/>
      <c r="O30" s="304"/>
      <c r="P30" s="304"/>
      <c r="Q30" s="8"/>
      <c r="R30" s="8"/>
    </row>
    <row r="31" spans="1:35" s="2" customFormat="1" ht="14.25" outlineLevel="2">
      <c r="A31" s="304" t="s">
        <v>113</v>
      </c>
      <c r="B31" s="304"/>
      <c r="C31" s="304"/>
      <c r="D31" s="304"/>
      <c r="E31" s="304"/>
      <c r="F31" s="304"/>
      <c r="G31" s="304"/>
      <c r="H31" s="304"/>
      <c r="I31" s="304"/>
      <c r="J31" s="304"/>
      <c r="K31" s="304"/>
      <c r="L31" s="304"/>
      <c r="M31" s="304"/>
      <c r="N31" s="304"/>
      <c r="O31" s="304"/>
      <c r="P31" s="304"/>
      <c r="Q31" s="8"/>
      <c r="R31" s="8"/>
    </row>
    <row r="32" spans="1:35" s="2" customFormat="1" ht="14.25" outlineLevel="2">
      <c r="A32" s="304" t="s">
        <v>202</v>
      </c>
      <c r="B32" s="304"/>
      <c r="C32" s="304"/>
      <c r="D32" s="304"/>
      <c r="E32" s="304"/>
      <c r="F32" s="304"/>
      <c r="G32" s="304"/>
      <c r="H32" s="304"/>
      <c r="I32" s="304"/>
      <c r="J32" s="304"/>
      <c r="K32" s="304"/>
      <c r="L32" s="304"/>
      <c r="M32" s="304"/>
      <c r="N32" s="304"/>
      <c r="O32" s="304"/>
      <c r="P32" s="304"/>
      <c r="Q32" s="9"/>
      <c r="R32" s="9"/>
    </row>
    <row r="33" spans="1:48" s="2" customFormat="1" ht="70.150000000000006" customHeight="1" outlineLevel="2">
      <c r="A33" s="304" t="s">
        <v>237</v>
      </c>
      <c r="B33" s="304"/>
      <c r="C33" s="304"/>
      <c r="D33" s="304"/>
      <c r="E33" s="304"/>
      <c r="F33" s="304"/>
      <c r="G33" s="304"/>
      <c r="H33" s="304"/>
      <c r="I33" s="304"/>
      <c r="J33" s="304"/>
      <c r="K33" s="304"/>
      <c r="L33" s="304"/>
      <c r="M33" s="304"/>
      <c r="N33" s="304"/>
      <c r="O33" s="304"/>
      <c r="P33" s="304"/>
      <c r="Q33" s="9"/>
      <c r="R33" s="9"/>
    </row>
    <row r="34" spans="1:48" s="11" customFormat="1" ht="16.5" outlineLevel="1" thickBot="1">
      <c r="A34" s="179" t="s">
        <v>4</v>
      </c>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1"/>
      <c r="AJ34" s="10"/>
      <c r="AK34" s="10"/>
      <c r="AL34" s="10"/>
      <c r="AM34" s="10"/>
      <c r="AN34" s="10"/>
      <c r="AO34" s="10"/>
      <c r="AP34" s="10"/>
      <c r="AQ34" s="10"/>
      <c r="AR34" s="10"/>
      <c r="AS34" s="10"/>
      <c r="AT34" s="10"/>
      <c r="AU34" s="10"/>
      <c r="AV34" s="10"/>
    </row>
    <row r="35" spans="1:48" s="12" customFormat="1" ht="16.5" outlineLevel="2" thickBot="1">
      <c r="A35" s="182"/>
      <c r="B35" s="183"/>
      <c r="C35" s="183"/>
      <c r="D35" s="183">
        <v>2019</v>
      </c>
      <c r="E35" s="183">
        <v>2020</v>
      </c>
      <c r="F35" s="183">
        <v>2021</v>
      </c>
      <c r="G35" s="183">
        <v>2022</v>
      </c>
      <c r="H35" s="183">
        <v>2023</v>
      </c>
      <c r="I35" s="183">
        <v>2024</v>
      </c>
      <c r="J35" s="183">
        <v>2025</v>
      </c>
      <c r="K35" s="183">
        <v>2026</v>
      </c>
      <c r="L35" s="183">
        <v>2027</v>
      </c>
      <c r="M35" s="183">
        <v>2028</v>
      </c>
      <c r="N35" s="183">
        <v>2029</v>
      </c>
      <c r="O35" s="183">
        <v>2030</v>
      </c>
      <c r="P35" s="183">
        <v>2031</v>
      </c>
      <c r="Q35" s="183">
        <v>2032</v>
      </c>
      <c r="R35" s="183">
        <v>2033</v>
      </c>
      <c r="S35" s="183">
        <v>2034</v>
      </c>
      <c r="T35" s="183">
        <v>2035</v>
      </c>
      <c r="U35" s="183">
        <v>2036</v>
      </c>
      <c r="V35" s="183">
        <v>2037</v>
      </c>
      <c r="W35" s="183">
        <v>2038</v>
      </c>
      <c r="X35" s="183">
        <v>2039</v>
      </c>
      <c r="Y35" s="183">
        <v>2040</v>
      </c>
      <c r="Z35" s="183">
        <v>2041</v>
      </c>
      <c r="AA35" s="183">
        <v>2042</v>
      </c>
      <c r="AB35" s="183">
        <v>2043</v>
      </c>
      <c r="AC35" s="183">
        <v>2044</v>
      </c>
      <c r="AD35" s="183">
        <v>2045</v>
      </c>
      <c r="AE35" s="183">
        <v>2046</v>
      </c>
      <c r="AF35" s="183">
        <v>2047</v>
      </c>
      <c r="AG35" s="183">
        <v>2048</v>
      </c>
      <c r="AH35" s="183">
        <v>2049</v>
      </c>
      <c r="AI35" s="184">
        <v>2050</v>
      </c>
    </row>
    <row r="36" spans="1:48" s="2" customFormat="1" ht="14.25" outlineLevel="2">
      <c r="A36" s="311" t="s">
        <v>5</v>
      </c>
      <c r="B36" s="318" t="s">
        <v>6</v>
      </c>
      <c r="C36" s="59" t="s">
        <v>103</v>
      </c>
      <c r="D36" s="14">
        <v>181874896</v>
      </c>
      <c r="E36" s="50">
        <f>D36*(1+'Constants and Trends'!E24)</f>
        <v>183920213.77190691</v>
      </c>
      <c r="F36" s="14">
        <f>E36*(1+'Constants and Trends'!F24)</f>
        <v>186017115.59790841</v>
      </c>
      <c r="G36" s="14">
        <f>F36*(1+'Constants and Trends'!G24)</f>
        <v>188180260.01499897</v>
      </c>
      <c r="H36" s="14">
        <f>G36*(1+'Constants and Trends'!H24)</f>
        <v>190347133.52820653</v>
      </c>
      <c r="I36" s="14">
        <f>H36*(1+'Constants and Trends'!I24)</f>
        <v>193066692.54868114</v>
      </c>
      <c r="J36" s="14">
        <f>I36*(1+'Constants and Trends'!J24)</f>
        <v>195984759.19698662</v>
      </c>
      <c r="K36" s="14">
        <f>J36*(1+'Constants and Trends'!K24)</f>
        <v>199687115.42715961</v>
      </c>
      <c r="L36" s="14">
        <f>K36*(1+'Constants and Trends'!L24)</f>
        <v>203534930.33719459</v>
      </c>
      <c r="M36" s="14">
        <f>L36*(1+'Constants and Trends'!M24)</f>
        <v>207412503.4749079</v>
      </c>
      <c r="N36" s="14">
        <f>M36*(1+'Constants and Trends'!N24)</f>
        <v>211315694.07697189</v>
      </c>
      <c r="O36" s="14">
        <f>N36*(1+'Constants and Trends'!O24)</f>
        <v>215239590.56758776</v>
      </c>
      <c r="P36" s="14">
        <f>O36*(1+'Constants and Trends'!P24)</f>
        <v>219181834.42410451</v>
      </c>
      <c r="Q36" s="14">
        <f>P36*(1+'Constants and Trends'!Q24)</f>
        <v>223133964.61568022</v>
      </c>
      <c r="R36" s="14">
        <f>Q36*(1+'Constants and Trends'!R24)</f>
        <v>227089953.38847718</v>
      </c>
      <c r="S36" s="14">
        <f>R36*(1+'Constants and Trends'!S24)</f>
        <v>230970663.10143217</v>
      </c>
      <c r="T36" s="14">
        <f>S36*(1+'Constants and Trends'!T24)</f>
        <v>234840098.89360815</v>
      </c>
      <c r="U36" s="14">
        <f>T36*(1+'Constants and Trends'!U24)</f>
        <v>238692207.38348922</v>
      </c>
      <c r="V36" s="14">
        <f>U36*(1+'Constants and Trends'!V24)</f>
        <v>242523381.66553977</v>
      </c>
      <c r="W36" s="14">
        <f>V36*(1+'Constants and Trends'!W24)</f>
        <v>246328181.44594362</v>
      </c>
      <c r="X36" s="14">
        <f>W36*(1+'Constants and Trends'!X24)</f>
        <v>250101979.40550822</v>
      </c>
      <c r="Y36" s="14">
        <f>X36*(1+'Constants and Trends'!Y24)</f>
        <v>253840949.74335882</v>
      </c>
      <c r="Z36" s="14">
        <f>Y36*(1+'Constants and Trends'!Z24)</f>
        <v>257542549.45462143</v>
      </c>
      <c r="AA36" s="14">
        <f>Z36*(1+'Constants and Trends'!AA24)</f>
        <v>261206174.94182402</v>
      </c>
      <c r="AB36" s="14">
        <f>AA36*(1+'Constants and Trends'!AB24)</f>
        <v>264832636.24331164</v>
      </c>
      <c r="AC36" s="14">
        <f>AB36*(1+'Constants and Trends'!AC24)</f>
        <v>268424279.67215002</v>
      </c>
      <c r="AD36" s="14">
        <f>AC36*(1+'Constants and Trends'!AD24)</f>
        <v>271984841.51237077</v>
      </c>
      <c r="AE36" s="14">
        <f>AD36*(1+'Constants and Trends'!AE24)</f>
        <v>275518429.19722444</v>
      </c>
      <c r="AF36" s="14">
        <f>AE36*(1+'Constants and Trends'!AF24)</f>
        <v>279029711.9390384</v>
      </c>
      <c r="AG36" s="14">
        <f>AF36*(1+'Constants and Trends'!AG24)</f>
        <v>282522749.90736187</v>
      </c>
      <c r="AH36" s="14">
        <f>AG36*(1+'Constants and Trends'!AH24)</f>
        <v>286003071.25396019</v>
      </c>
      <c r="AI36" s="38">
        <f>AH36*(1+'Constants and Trends'!AI24)</f>
        <v>289475971.63087696</v>
      </c>
    </row>
    <row r="37" spans="1:48" s="2" customFormat="1" ht="14.25" outlineLevel="2">
      <c r="A37" s="312"/>
      <c r="B37" s="319"/>
      <c r="C37" s="61" t="s">
        <v>104</v>
      </c>
      <c r="D37" s="49">
        <v>293449828</v>
      </c>
      <c r="E37" s="13">
        <f>D37*(1+'Constants and Trends'!E24)</f>
        <v>296749888.43479151</v>
      </c>
      <c r="F37" s="13">
        <f>E37*(1+'Constants and Trends'!F24)</f>
        <v>300133178.23292303</v>
      </c>
      <c r="G37" s="13">
        <f>F37*(1+'Constants and Trends'!G24)</f>
        <v>303623348.51532626</v>
      </c>
      <c r="H37" s="13">
        <f>G37*(1+'Constants and Trends'!H24)</f>
        <v>307119535.58530271</v>
      </c>
      <c r="I37" s="13">
        <f>H37*(1+'Constants and Trends'!I24)</f>
        <v>311507464.56475967</v>
      </c>
      <c r="J37" s="13">
        <f>I37*(1+'Constants and Trends'!J24)</f>
        <v>316215679.79880595</v>
      </c>
      <c r="K37" s="13">
        <f>J37*(1+'Constants and Trends'!K24)</f>
        <v>322189323.34628594</v>
      </c>
      <c r="L37" s="13">
        <f>K37*(1+'Constants and Trends'!L24)</f>
        <v>328397660.22157192</v>
      </c>
      <c r="M37" s="13">
        <f>L37*(1+'Constants and Trends'!M24)</f>
        <v>334654011.12730324</v>
      </c>
      <c r="N37" s="13">
        <f>M37*(1+'Constants and Trends'!N24)</f>
        <v>340951695.06289649</v>
      </c>
      <c r="O37" s="13">
        <f>N37*(1+'Constants and Trends'!O24)</f>
        <v>347282787.34437901</v>
      </c>
      <c r="P37" s="13">
        <f>O37*(1+'Constants and Trends'!P24)</f>
        <v>353643482.56439936</v>
      </c>
      <c r="Q37" s="13">
        <f>P37*(1+'Constants and Trends'!Q24)</f>
        <v>360020129.09703296</v>
      </c>
      <c r="R37" s="13">
        <f>Q37*(1+'Constants and Trends'!R24)</f>
        <v>366403001.33767027</v>
      </c>
      <c r="S37" s="13">
        <f>R37*(1+'Constants and Trends'!S24)</f>
        <v>372664413.01586348</v>
      </c>
      <c r="T37" s="13">
        <f>S37*(1+'Constants and Trends'!T24)</f>
        <v>378907634.55244696</v>
      </c>
      <c r="U37" s="13">
        <f>T37*(1+'Constants and Trends'!U24)</f>
        <v>385122898.99330163</v>
      </c>
      <c r="V37" s="13">
        <f>U37*(1+'Constants and Trends'!V24)</f>
        <v>391304386.70178539</v>
      </c>
      <c r="W37" s="13">
        <f>V37*(1+'Constants and Trends'!W24)</f>
        <v>397443319.92286032</v>
      </c>
      <c r="X37" s="13">
        <f>W37*(1+'Constants and Trends'!X24)</f>
        <v>403532232.61227834</v>
      </c>
      <c r="Y37" s="13">
        <f>X37*(1+'Constants and Trends'!Y24)</f>
        <v>409564951.95216656</v>
      </c>
      <c r="Z37" s="13">
        <f>Y37*(1+'Constants and Trends'!Z24)</f>
        <v>415537374.87849975</v>
      </c>
      <c r="AA37" s="13">
        <f>Z37*(1+'Constants and Trends'!AA24)</f>
        <v>421448527.50440156</v>
      </c>
      <c r="AB37" s="13">
        <f>AA37*(1+'Constants and Trends'!AB24)</f>
        <v>427299716.80306208</v>
      </c>
      <c r="AC37" s="13">
        <f>AB37*(1+'Constants and Trends'!AC24)</f>
        <v>433094728.48202384</v>
      </c>
      <c r="AD37" s="13">
        <f>AC37*(1+'Constants and Trends'!AD24)</f>
        <v>438839590.92635006</v>
      </c>
      <c r="AE37" s="13">
        <f>AD37*(1+'Constants and Trends'!AE24)</f>
        <v>444540931.35951918</v>
      </c>
      <c r="AF37" s="13">
        <f>AE37*(1+'Constants and Trends'!AF24)</f>
        <v>450206283.4191277</v>
      </c>
      <c r="AG37" s="13">
        <f>AF37*(1+'Constants and Trends'!AG24)</f>
        <v>455842198.07005346</v>
      </c>
      <c r="AH37" s="13">
        <f>AG37*(1+'Constants and Trends'!AH24)</f>
        <v>461457594.82356697</v>
      </c>
      <c r="AI37" s="39">
        <f>AH37*(1+'Constants and Trends'!AI24)</f>
        <v>467061018.05943429</v>
      </c>
    </row>
    <row r="38" spans="1:48" s="2" customFormat="1" ht="14.25" outlineLevel="2">
      <c r="A38" s="312"/>
      <c r="B38" s="319"/>
      <c r="C38" s="61" t="s">
        <v>7</v>
      </c>
      <c r="D38" s="13">
        <v>35551145</v>
      </c>
      <c r="E38" s="13">
        <f>D38*(1+'Constants and Trends'!E24)</f>
        <v>35950943.929260358</v>
      </c>
      <c r="F38" s="13">
        <f>E38*(1+'Constants and Trends'!F24)</f>
        <v>36360826.010330766</v>
      </c>
      <c r="G38" s="13">
        <f>F38*(1+'Constants and Trends'!G24)</f>
        <v>36783656.552199103</v>
      </c>
      <c r="H38" s="13">
        <f>G38*(1+'Constants and Trends'!H24)</f>
        <v>37207216.021696754</v>
      </c>
      <c r="I38" s="13">
        <f>H38*(1+'Constants and Trends'!I24)</f>
        <v>37738809.10683012</v>
      </c>
      <c r="J38" s="13">
        <f>I38*(1+'Constants and Trends'!J24)</f>
        <v>38309204.54245732</v>
      </c>
      <c r="K38" s="13">
        <f>J38*(1+'Constants and Trends'!K24)</f>
        <v>39032905.317414925</v>
      </c>
      <c r="L38" s="13">
        <f>K38*(1+'Constants and Trends'!L24)</f>
        <v>39785038.947774857</v>
      </c>
      <c r="M38" s="13">
        <f>L38*(1+'Constants and Trends'!M24)</f>
        <v>40542989.428565517</v>
      </c>
      <c r="N38" s="13">
        <f>M38*(1+'Constants and Trends'!N24)</f>
        <v>41305947.363434188</v>
      </c>
      <c r="O38" s="13">
        <f>N38*(1+'Constants and Trends'!O24)</f>
        <v>42072952.68506404</v>
      </c>
      <c r="P38" s="13">
        <f>O38*(1+'Constants and Trends'!P24)</f>
        <v>42843544.37226636</v>
      </c>
      <c r="Q38" s="13">
        <f>P38*(1+'Constants and Trends'!Q24)</f>
        <v>43616068.544594049</v>
      </c>
      <c r="R38" s="13">
        <f>Q38*(1+'Constants and Trends'!R24)</f>
        <v>44389346.95504646</v>
      </c>
      <c r="S38" s="13">
        <f>R38*(1+'Constants and Trends'!S24)</f>
        <v>45147910.543218471</v>
      </c>
      <c r="T38" s="13">
        <f>S38*(1+'Constants and Trends'!T24)</f>
        <v>45904270.414433673</v>
      </c>
      <c r="U38" s="13">
        <f>T38*(1+'Constants and Trends'!U24)</f>
        <v>46657243.312240817</v>
      </c>
      <c r="V38" s="13">
        <f>U38*(1+'Constants and Trends'!V24)</f>
        <v>47406124.19364322</v>
      </c>
      <c r="W38" s="13">
        <f>V38*(1+'Constants and Trends'!W24)</f>
        <v>48149849.64264144</v>
      </c>
      <c r="X38" s="13">
        <f>W38*(1+'Constants and Trends'!X24)</f>
        <v>48887515.155649818</v>
      </c>
      <c r="Y38" s="13">
        <f>X38*(1+'Constants and Trends'!Y24)</f>
        <v>49618372.902128614</v>
      </c>
      <c r="Z38" s="13">
        <f>Y38*(1+'Constants and Trends'!Z24)</f>
        <v>50341925.800089061</v>
      </c>
      <c r="AA38" s="13">
        <f>Z38*(1+'Constants and Trends'!AA24)</f>
        <v>51058055.86413724</v>
      </c>
      <c r="AB38" s="13">
        <f>AA38*(1+'Constants and Trends'!AB24)</f>
        <v>51766921.432731569</v>
      </c>
      <c r="AC38" s="13">
        <f>AB38*(1+'Constants and Trends'!AC24)</f>
        <v>52468981.140449174</v>
      </c>
      <c r="AD38" s="13">
        <f>AC38*(1+'Constants and Trends'!AD24)</f>
        <v>53164965.319943376</v>
      </c>
      <c r="AE38" s="13">
        <f>AD38*(1+'Constants and Trends'!AE24)</f>
        <v>53855676.852525905</v>
      </c>
      <c r="AF38" s="13">
        <f>AE38*(1+'Constants and Trends'!AF24)</f>
        <v>54542028.43064709</v>
      </c>
      <c r="AG38" s="13">
        <f>AF38*(1+'Constants and Trends'!AG24)</f>
        <v>55224813.696967594</v>
      </c>
      <c r="AH38" s="13">
        <f>AG38*(1+'Constants and Trends'!AH24)</f>
        <v>55905113.241108708</v>
      </c>
      <c r="AI38" s="39">
        <f>AH38*(1+'Constants and Trends'!AI24)</f>
        <v>56583962.205895588</v>
      </c>
    </row>
    <row r="39" spans="1:48" s="2" customFormat="1" outlineLevel="2" thickBot="1">
      <c r="A39" s="312"/>
      <c r="B39" s="320"/>
      <c r="C39" s="62" t="s">
        <v>108</v>
      </c>
      <c r="D39" s="16">
        <v>11068</v>
      </c>
      <c r="E39" s="172">
        <f>D39*(1+'Constants and Trends'!E24)</f>
        <v>11192.467849039846</v>
      </c>
      <c r="F39" s="172">
        <f>E39*(1+'Constants and Trends'!F24)</f>
        <v>11320.074846600326</v>
      </c>
      <c r="G39" s="172">
        <f>F39*(1+'Constants and Trends'!G24)</f>
        <v>11451.713038208465</v>
      </c>
      <c r="H39" s="172">
        <f>G39*(1+'Constants and Trends'!H24)</f>
        <v>11583.578164026496</v>
      </c>
      <c r="I39" s="172">
        <f>H39*(1+'Constants and Trends'!I24)</f>
        <v>11749.076976125407</v>
      </c>
      <c r="J39" s="172">
        <f>I39*(1+'Constants and Trends'!J24)</f>
        <v>11926.65597341289</v>
      </c>
      <c r="K39" s="172">
        <f>J39*(1+'Constants and Trends'!K24)</f>
        <v>12151.962927021015</v>
      </c>
      <c r="L39" s="172">
        <f>K39*(1+'Constants and Trends'!L24)</f>
        <v>12386.121771154552</v>
      </c>
      <c r="M39" s="172">
        <f>L39*(1+'Constants and Trends'!M24)</f>
        <v>12622.091552757676</v>
      </c>
      <c r="N39" s="172">
        <f>M39*(1+'Constants and Trends'!N24)</f>
        <v>12859.62028560514</v>
      </c>
      <c r="O39" s="172">
        <f>N39*(1+'Constants and Trends'!O24)</f>
        <v>13098.409075665186</v>
      </c>
      <c r="P39" s="172">
        <f>O39*(1+'Constants and Trends'!P24)</f>
        <v>13338.314395000338</v>
      </c>
      <c r="Q39" s="172">
        <f>P39*(1+'Constants and Trends'!Q24)</f>
        <v>13578.821347429659</v>
      </c>
      <c r="R39" s="172">
        <f>Q39*(1+'Constants and Trends'!R24)</f>
        <v>13819.563113887174</v>
      </c>
      <c r="S39" s="172">
        <f>R39*(1+'Constants and Trends'!S24)</f>
        <v>14055.723771831887</v>
      </c>
      <c r="T39" s="172">
        <f>S39*(1+'Constants and Trends'!T24)</f>
        <v>14291.198355128989</v>
      </c>
      <c r="U39" s="172">
        <f>T39*(1+'Constants and Trends'!U24)</f>
        <v>14525.618485139696</v>
      </c>
      <c r="V39" s="172">
        <f>U39*(1+'Constants and Trends'!V24)</f>
        <v>14758.764663564098</v>
      </c>
      <c r="W39" s="172">
        <f>V39*(1+'Constants and Trends'!W24)</f>
        <v>14990.305821226175</v>
      </c>
      <c r="X39" s="172">
        <f>W39*(1+'Constants and Trends'!X24)</f>
        <v>15219.96036253495</v>
      </c>
      <c r="Y39" s="172">
        <f>X39*(1+'Constants and Trends'!Y24)</f>
        <v>15447.495468310794</v>
      </c>
      <c r="Z39" s="172">
        <f>Y39*(1+'Constants and Trends'!Z24)</f>
        <v>15672.7563839473</v>
      </c>
      <c r="AA39" s="172">
        <f>Z39*(1+'Constants and Trends'!AA24)</f>
        <v>15895.706377509679</v>
      </c>
      <c r="AB39" s="172">
        <f>AA39*(1+'Constants and Trends'!AB24)</f>
        <v>16116.394743895686</v>
      </c>
      <c r="AC39" s="172">
        <f>AB39*(1+'Constants and Trends'!AC24)</f>
        <v>16334.964268028269</v>
      </c>
      <c r="AD39" s="172">
        <f>AC39*(1+'Constants and Trends'!AD24)</f>
        <v>16551.642321537991</v>
      </c>
      <c r="AE39" s="172">
        <f>AD39*(1+'Constants and Trends'!AE24)</f>
        <v>16766.678862347671</v>
      </c>
      <c r="AF39" s="172">
        <f>AE39*(1+'Constants and Trends'!AF24)</f>
        <v>16980.358035455745</v>
      </c>
      <c r="AG39" s="172">
        <f>AF39*(1+'Constants and Trends'!AG24)</f>
        <v>17192.926922551655</v>
      </c>
      <c r="AH39" s="172">
        <f>AG39*(1+'Constants and Trends'!AH24)</f>
        <v>17404.721939408464</v>
      </c>
      <c r="AI39" s="173">
        <f>AH39*(1+'Constants and Trends'!AI24)</f>
        <v>17616.065353024573</v>
      </c>
    </row>
    <row r="40" spans="1:48" s="2" customFormat="1" ht="14.25" outlineLevel="2">
      <c r="A40" s="312"/>
      <c r="B40" s="315" t="s">
        <v>8</v>
      </c>
      <c r="C40" s="51" t="s">
        <v>9</v>
      </c>
      <c r="D40" s="14">
        <f>SUM('On-Road'!D24:D25)</f>
        <v>26069254.268458612</v>
      </c>
      <c r="E40" s="14">
        <f>SUM('On-Road'!E24:E25)</f>
        <v>25746967.338405129</v>
      </c>
      <c r="F40" s="14">
        <f>SUM('On-Road'!F24:F25)</f>
        <v>25378916.609255042</v>
      </c>
      <c r="G40" s="14">
        <f>SUM('On-Road'!G24:G25)</f>
        <v>24977373.786061771</v>
      </c>
      <c r="H40" s="14">
        <f>SUM('On-Road'!H24:H25)</f>
        <v>24529948.330062252</v>
      </c>
      <c r="I40" s="14">
        <f>SUM('On-Road'!I24:I25)</f>
        <v>24131794.108696736</v>
      </c>
      <c r="J40" s="14">
        <f>SUM('On-Road'!J24:J25)</f>
        <v>23721595.246749271</v>
      </c>
      <c r="K40" s="14">
        <f>SUM('On-Road'!K24:K25)</f>
        <v>23433755.739876859</v>
      </c>
      <c r="L40" s="14">
        <f>SUM('On-Road'!L24:L25)</f>
        <v>23183463.344895147</v>
      </c>
      <c r="M40" s="14">
        <f>SUM('On-Road'!M24:M25)</f>
        <v>22967080.514076699</v>
      </c>
      <c r="N40" s="14">
        <f>SUM('On-Road'!N24:N25)</f>
        <v>22787547.014758874</v>
      </c>
      <c r="O40" s="14">
        <f>SUM('On-Road'!O24:O25)</f>
        <v>22641566.015965328</v>
      </c>
      <c r="P40" s="14">
        <f>SUM('On-Road'!P24:P25)</f>
        <v>22529190.398528799</v>
      </c>
      <c r="Q40" s="14">
        <f>SUM('On-Road'!Q24:Q25)</f>
        <v>22448805.325260319</v>
      </c>
      <c r="R40" s="14">
        <f>SUM('On-Road'!R24:R25)</f>
        <v>22398069.55105089</v>
      </c>
      <c r="S40" s="14">
        <f>SUM('On-Road'!S24:S25)</f>
        <v>22367234.635127105</v>
      </c>
      <c r="T40" s="14">
        <f>SUM('On-Road'!T24:T25)</f>
        <v>22365437.700689752</v>
      </c>
      <c r="U40" s="14">
        <f>SUM('On-Road'!U24:U25)</f>
        <v>22390178.567822378</v>
      </c>
      <c r="V40" s="14">
        <f>SUM('On-Road'!V24:V25)</f>
        <v>22441293.081519961</v>
      </c>
      <c r="W40" s="14">
        <f>SUM('On-Road'!W24:W25)</f>
        <v>22515171.556408338</v>
      </c>
      <c r="X40" s="14">
        <f>SUM('On-Road'!X24:X25)</f>
        <v>22610804.082640544</v>
      </c>
      <c r="Y40" s="14">
        <f>SUM('On-Road'!Y24:Y25)</f>
        <v>22724532.615971923</v>
      </c>
      <c r="Z40" s="14">
        <f>SUM('On-Road'!Z24:Z25)</f>
        <v>22744528.222285852</v>
      </c>
      <c r="AA40" s="14">
        <f>SUM('On-Road'!AA24:AA25)</f>
        <v>22760503.591366027</v>
      </c>
      <c r="AB40" s="14">
        <f>SUM('On-Road'!AB24:AB25)</f>
        <v>22768763.430749644</v>
      </c>
      <c r="AC40" s="14">
        <f>SUM('On-Road'!AC24:AC25)</f>
        <v>22769750.764425073</v>
      </c>
      <c r="AD40" s="14">
        <f>SUM('On-Road'!AD24:AD25)</f>
        <v>22764008.711065508</v>
      </c>
      <c r="AE40" s="14">
        <f>SUM('On-Road'!AE24:AE25)</f>
        <v>22752089.051444311</v>
      </c>
      <c r="AF40" s="14">
        <f>SUM('On-Road'!AF24:AF25)</f>
        <v>22734566.370484509</v>
      </c>
      <c r="AG40" s="14">
        <f>SUM('On-Road'!AG24:AG25)</f>
        <v>22711941.573300369</v>
      </c>
      <c r="AH40" s="14">
        <f>SUM('On-Road'!AH24:AH25)</f>
        <v>22684810.651636217</v>
      </c>
      <c r="AI40" s="38">
        <f>SUM('On-Road'!AI24:AI25)</f>
        <v>22653724.486045074</v>
      </c>
    </row>
    <row r="41" spans="1:48" s="2" customFormat="1" ht="14.25" outlineLevel="2">
      <c r="A41" s="312"/>
      <c r="B41" s="316"/>
      <c r="C41" s="53" t="s">
        <v>10</v>
      </c>
      <c r="D41" s="13">
        <f>('On-Road'!D10*'On-Road'!D4)+('On-Road'!D11*'On-Road'!D5)</f>
        <v>545945912</v>
      </c>
      <c r="E41" s="13">
        <f>('On-Road'!E10*'On-Road'!E4)+('On-Road'!E11*'On-Road'!E5)</f>
        <v>551288888.51791263</v>
      </c>
      <c r="F41" s="13">
        <f>('On-Road'!F10*'On-Road'!F4)+('On-Road'!F11*'On-Road'!F5)</f>
        <v>556749888.85622478</v>
      </c>
      <c r="G41" s="13">
        <f>('On-Road'!G10*'On-Road'!G4)+('On-Road'!G11*'On-Road'!G5)</f>
        <v>562372032.05400121</v>
      </c>
      <c r="H41" s="13">
        <f>('On-Road'!H10*'On-Road'!H4)+('On-Road'!H11*'On-Road'!H5)</f>
        <v>567968817.17700768</v>
      </c>
      <c r="I41" s="13">
        <f>('On-Road'!I10*'On-Road'!I4)+('On-Road'!I11*'On-Road'!I5)</f>
        <v>575177451.93689907</v>
      </c>
      <c r="J41" s="13">
        <f>('On-Road'!J10*'On-Road'!J4)+('On-Road'!J11*'On-Road'!J5)</f>
        <v>582939181.15377069</v>
      </c>
      <c r="K41" s="13">
        <f>('On-Road'!K10*'On-Road'!K4)+('On-Road'!K11*'On-Road'!K5)</f>
        <v>592993798.26567137</v>
      </c>
      <c r="L41" s="13">
        <f>('On-Road'!L10*'On-Road'!L4)+('On-Road'!L11*'On-Road'!L5)</f>
        <v>603439429.46328449</v>
      </c>
      <c r="M41" s="13">
        <f>('On-Road'!M10*'On-Road'!M4)+('On-Road'!M11*'On-Road'!M5)</f>
        <v>613935092.48419619</v>
      </c>
      <c r="N41" s="13">
        <f>('On-Road'!N10*'On-Road'!N4)+('On-Road'!N11*'On-Road'!N5)</f>
        <v>624471651.76565015</v>
      </c>
      <c r="O41" s="13">
        <f>('On-Road'!O10*'On-Road'!O4)+('On-Road'!O11*'On-Road'!O5)</f>
        <v>635037484.47837174</v>
      </c>
      <c r="P41" s="13">
        <f>('On-Road'!P10*'On-Road'!P4)+('On-Road'!P11*'On-Road'!P5)</f>
        <v>645628098.02193213</v>
      </c>
      <c r="Q41" s="13">
        <f>('On-Road'!Q10*'On-Road'!Q4)+('On-Road'!Q11*'On-Road'!Q5)</f>
        <v>656220482.6603967</v>
      </c>
      <c r="R41" s="13">
        <f>('On-Road'!R10*'On-Road'!R4)+('On-Road'!R11*'On-Road'!R5)</f>
        <v>666798253.82117856</v>
      </c>
      <c r="S41" s="13">
        <f>('On-Road'!S10*'On-Road'!S4)+('On-Road'!S11*'On-Road'!S5)</f>
        <v>677130128.75590158</v>
      </c>
      <c r="T41" s="13">
        <f>('On-Road'!T10*'On-Road'!T4)+('On-Road'!T11*'On-Road'!T5)</f>
        <v>687404647.19286668</v>
      </c>
      <c r="U41" s="13">
        <f>('On-Road'!U10*'On-Road'!U4)+('On-Road'!U11*'On-Road'!U5)</f>
        <v>697603909.22306705</v>
      </c>
      <c r="V41" s="13">
        <f>('On-Road'!V10*'On-Road'!V4)+('On-Road'!V11*'On-Road'!V5)</f>
        <v>707716878.74713874</v>
      </c>
      <c r="W41" s="13">
        <f>('On-Road'!W10*'On-Road'!W4)+('On-Road'!W11*'On-Road'!W5)</f>
        <v>717726993.32709908</v>
      </c>
      <c r="X41" s="13">
        <f>('On-Road'!X10*'On-Road'!X4)+('On-Road'!X11*'On-Road'!X5)</f>
        <v>727620030.35771608</v>
      </c>
      <c r="Y41" s="13">
        <f>('On-Road'!Y10*'On-Road'!Y4)+('On-Road'!Y11*'On-Road'!Y5)</f>
        <v>737384162.42959547</v>
      </c>
      <c r="Z41" s="13">
        <f>('On-Road'!Z10*'On-Road'!Z4)+('On-Road'!Z11*'On-Road'!Z5)</f>
        <v>746992684.65527999</v>
      </c>
      <c r="AA41" s="13">
        <f>('On-Road'!AA10*'On-Road'!AA4)+('On-Road'!AA11*'On-Road'!AA5)</f>
        <v>756487567.90406978</v>
      </c>
      <c r="AB41" s="13">
        <f>('On-Road'!AB10*'On-Road'!AB4)+('On-Road'!AB11*'On-Road'!AB5)</f>
        <v>765843244.17962897</v>
      </c>
      <c r="AC41" s="13">
        <f>('On-Road'!AC10*'On-Road'!AC4)+('On-Road'!AC11*'On-Road'!AC5)</f>
        <v>775066971.28272319</v>
      </c>
      <c r="AD41" s="13">
        <f>('On-Road'!AD10*'On-Road'!AD4)+('On-Road'!AD11*'On-Road'!AD5)</f>
        <v>784169973.84385633</v>
      </c>
      <c r="AE41" s="13">
        <f>('On-Road'!AE10*'On-Road'!AE4)+('On-Road'!AE11*'On-Road'!AE5)</f>
        <v>793164480.23075032</v>
      </c>
      <c r="AF41" s="13">
        <f>('On-Road'!AF10*'On-Road'!AF4)+('On-Road'!AF11*'On-Road'!AF5)</f>
        <v>802064262.47178459</v>
      </c>
      <c r="AG41" s="13">
        <f>('On-Road'!AG10*'On-Road'!AG4)+('On-Road'!AG11*'On-Road'!AG5)</f>
        <v>810881263.66168463</v>
      </c>
      <c r="AH41" s="13">
        <f>('On-Road'!AH10*'On-Road'!AH4)+('On-Road'!AH11*'On-Road'!AH5)</f>
        <v>819631563.5178535</v>
      </c>
      <c r="AI41" s="39">
        <f>('On-Road'!AI10*'On-Road'!AI4)+('On-Road'!AI11*'On-Road'!AI5)</f>
        <v>828330480.6903677</v>
      </c>
    </row>
    <row r="42" spans="1:48" s="2" customFormat="1" ht="14.25" outlineLevel="2">
      <c r="A42" s="312"/>
      <c r="B42" s="316"/>
      <c r="C42" s="53" t="s">
        <v>11</v>
      </c>
      <c r="D42" s="13">
        <f>SUM('On-Road'!D22:D23)</f>
        <v>3616968.1346836467</v>
      </c>
      <c r="E42" s="13">
        <f>SUM('On-Road'!E22:E23)</f>
        <v>3519997.2363652196</v>
      </c>
      <c r="F42" s="13">
        <f>SUM('On-Road'!F22:F23)</f>
        <v>3415847.1609141654</v>
      </c>
      <c r="G42" s="13">
        <f>SUM('On-Road'!G22:G23)</f>
        <v>3306367.6175401155</v>
      </c>
      <c r="H42" s="13">
        <f>SUM('On-Road'!H22:H23)</f>
        <v>3190307.4133647438</v>
      </c>
      <c r="I42" s="13">
        <f>SUM('On-Road'!I22:I23)</f>
        <v>3080210.8919799938</v>
      </c>
      <c r="J42" s="13">
        <f>SUM('On-Road'!J22:J23)</f>
        <v>2968438.8040177389</v>
      </c>
      <c r="K42" s="13">
        <f>SUM('On-Road'!K22:K23)</f>
        <v>2871604.3361462797</v>
      </c>
      <c r="L42" s="13">
        <f>SUM('On-Road'!L22:L23)</f>
        <v>2779105.099665401</v>
      </c>
      <c r="M42" s="13">
        <f>SUM('On-Road'!M22:M23)</f>
        <v>2690700.2861848362</v>
      </c>
      <c r="N42" s="13">
        <f>SUM('On-Road'!N22:N23)</f>
        <v>2606979.3591578542</v>
      </c>
      <c r="O42" s="13">
        <f>SUM('On-Road'!O22:O23)</f>
        <v>2527790.6072195387</v>
      </c>
      <c r="P42" s="13">
        <f>SUM('On-Road'!P22:P23)</f>
        <v>2453303.9652567701</v>
      </c>
      <c r="Q42" s="13">
        <f>SUM('On-Road'!Q22:Q23)</f>
        <v>2383429.1784679187</v>
      </c>
      <c r="R42" s="13">
        <f>SUM('On-Road'!R22:R23)</f>
        <v>2317923.361310163</v>
      </c>
      <c r="S42" s="13">
        <f>SUM('On-Road'!S22:S23)</f>
        <v>2255723.3013652419</v>
      </c>
      <c r="T42" s="13">
        <f>SUM('On-Road'!T22:T23)</f>
        <v>2197626.7882322962</v>
      </c>
      <c r="U42" s="13">
        <f>SUM('On-Road'!U22:U23)</f>
        <v>2143154.5705948896</v>
      </c>
      <c r="V42" s="13">
        <f>SUM('On-Road'!V22:V23)</f>
        <v>2092010.5796389435</v>
      </c>
      <c r="W42" s="13">
        <f>SUM('On-Road'!W22:W23)</f>
        <v>2043551.1596298483</v>
      </c>
      <c r="X42" s="13">
        <f>SUM('On-Road'!X22:X23)</f>
        <v>1997375.3046194925</v>
      </c>
      <c r="Y42" s="13">
        <f>SUM('On-Road'!Y22:Y23)</f>
        <v>1952859.994039478</v>
      </c>
      <c r="Z42" s="13">
        <f>SUM('On-Road'!Z22:Z23)</f>
        <v>1897675.6275224679</v>
      </c>
      <c r="AA42" s="13">
        <f>SUM('On-Road'!AA22:AA23)</f>
        <v>1846033.7782420104</v>
      </c>
      <c r="AB42" s="13">
        <f>SUM('On-Road'!AB22:AB23)</f>
        <v>1793550.9967794463</v>
      </c>
      <c r="AC42" s="13">
        <f>SUM('On-Road'!AC22:AC23)</f>
        <v>1740314.2915071608</v>
      </c>
      <c r="AD42" s="13">
        <f>SUM('On-Road'!AD22:AD23)</f>
        <v>1686414.243662351</v>
      </c>
      <c r="AE42" s="13">
        <f>SUM('On-Road'!AE22:AE23)</f>
        <v>1631937.2413686588</v>
      </c>
      <c r="AF42" s="13">
        <f>SUM('On-Road'!AF22:AF23)</f>
        <v>1576966.321989855</v>
      </c>
      <c r="AG42" s="13">
        <f>SUM('On-Road'!AG22:AG23)</f>
        <v>1521574.4008160131</v>
      </c>
      <c r="AH42" s="13">
        <f>SUM('On-Road'!AH22:AH23)</f>
        <v>1465836.0128105537</v>
      </c>
      <c r="AI42" s="39">
        <f>SUM('On-Road'!AI22:AI23)</f>
        <v>1409817.4198822267</v>
      </c>
    </row>
    <row r="43" spans="1:48" s="2" customFormat="1" ht="14.25" outlineLevel="2">
      <c r="A43" s="312"/>
      <c r="B43" s="316"/>
      <c r="C43" s="53" t="s">
        <v>12</v>
      </c>
      <c r="D43" s="13">
        <f>('On-Road'!D8*'On-Road'!D4)+('On-Road'!D9*'On-Road'!D5)</f>
        <v>45387456</v>
      </c>
      <c r="E43" s="13">
        <f>('On-Road'!E8*'On-Road'!E4)+('On-Road'!E9*'On-Road'!E5)</f>
        <v>45101282.324831165</v>
      </c>
      <c r="F43" s="13">
        <f>('On-Road'!F8*'On-Road'!F4)+('On-Road'!F9*'On-Road'!F5)</f>
        <v>44789089.349293306</v>
      </c>
      <c r="G43" s="13">
        <f>('On-Road'!G8*'On-Road'!G4)+('On-Road'!G9*'On-Road'!G5)</f>
        <v>44453650.280779086</v>
      </c>
      <c r="H43" s="13">
        <f>('On-Road'!H8*'On-Road'!H4)+('On-Road'!H9*'On-Road'!H5)</f>
        <v>44080617.71249906</v>
      </c>
      <c r="I43" s="13">
        <f>('On-Road'!I8*'On-Road'!I4)+('On-Road'!I9*'On-Road'!I5)</f>
        <v>43796499.429940082</v>
      </c>
      <c r="J43" s="13">
        <f>('On-Road'!J8*'On-Road'!J4)+('On-Road'!J9*'On-Road'!J5)</f>
        <v>43517577.811028168</v>
      </c>
      <c r="K43" s="13">
        <f>('On-Road'!K8*'On-Road'!K4)+('On-Road'!K9*'On-Road'!K5)</f>
        <v>43371644.255691603</v>
      </c>
      <c r="L43" s="13">
        <f>('On-Road'!L8*'On-Road'!L4)+('On-Road'!L9*'On-Road'!L5)</f>
        <v>43215446.208985873</v>
      </c>
      <c r="M43" s="13">
        <f>('On-Road'!M8*'On-Road'!M4)+('On-Road'!M9*'On-Road'!M5)</f>
        <v>43026845.186605871</v>
      </c>
      <c r="N43" s="13">
        <f>('On-Road'!N8*'On-Road'!N4)+('On-Road'!N9*'On-Road'!N5)</f>
        <v>42808490.927715763</v>
      </c>
      <c r="O43" s="13">
        <f>('On-Road'!O8*'On-Road'!O4)+('On-Road'!O9*'On-Road'!O5)</f>
        <v>42562636.019732326</v>
      </c>
      <c r="P43" s="13">
        <f>('On-Road'!P8*'On-Road'!P4)+('On-Road'!P9*'On-Road'!P5)</f>
        <v>42291582.750851057</v>
      </c>
      <c r="Q43" s="13">
        <f>('On-Road'!Q8*'On-Road'!Q4)+('On-Road'!Q9*'On-Road'!Q5)</f>
        <v>41995846.865692802</v>
      </c>
      <c r="R43" s="13">
        <f>('On-Road'!R8*'On-Road'!R4)+('On-Road'!R9*'On-Road'!R5)</f>
        <v>41675797.041886665</v>
      </c>
      <c r="S43" s="13">
        <f>('On-Road'!S8*'On-Road'!S4)+('On-Road'!S9*'On-Road'!S5)</f>
        <v>41318085.144007653</v>
      </c>
      <c r="T43" s="13">
        <f>('On-Road'!T8*'On-Road'!T4)+('On-Road'!T9*'On-Road'!T5)</f>
        <v>40935080.523502044</v>
      </c>
      <c r="U43" s="13">
        <f>('On-Road'!U8*'On-Road'!U4)+('On-Road'!U9*'On-Road'!U5)</f>
        <v>40525507.770138554</v>
      </c>
      <c r="V43" s="13">
        <f>('On-Road'!V8*'On-Road'!V4)+('On-Road'!V9*'On-Road'!V5)</f>
        <v>40088178.273469746</v>
      </c>
      <c r="W43" s="13">
        <f>('On-Road'!W8*'On-Road'!W4)+('On-Road'!W9*'On-Road'!W5)</f>
        <v>39621396.704285309</v>
      </c>
      <c r="X43" s="13">
        <f>('On-Road'!X8*'On-Road'!X4)+('On-Road'!X9*'On-Road'!X5)</f>
        <v>39123556.269517682</v>
      </c>
      <c r="Y43" s="13">
        <f>('On-Road'!Y8*'On-Road'!Y4)+('On-Road'!Y9*'On-Road'!Y5)</f>
        <v>38593237.418371707</v>
      </c>
      <c r="Z43" s="13">
        <f>('On-Road'!Z8*'On-Road'!Z4)+('On-Road'!Z9*'On-Road'!Z5)</f>
        <v>38008537.912172332</v>
      </c>
      <c r="AA43" s="13">
        <f>('On-Road'!AA8*'On-Road'!AA4)+('On-Road'!AA9*'On-Road'!AA5)</f>
        <v>37417893.951842427</v>
      </c>
      <c r="AB43" s="13">
        <f>('On-Road'!AB8*'On-Road'!AB4)+('On-Road'!AB9*'On-Road'!AB5)</f>
        <v>36790351.621479116</v>
      </c>
      <c r="AC43" s="13">
        <f>('On-Road'!AC8*'On-Road'!AC4)+('On-Road'!AC9*'On-Road'!AC5)</f>
        <v>36126709.599771053</v>
      </c>
      <c r="AD43" s="13">
        <f>('On-Road'!AD8*'On-Road'!AD4)+('On-Road'!AD9*'On-Road'!AD5)</f>
        <v>35427906.96964296</v>
      </c>
      <c r="AE43" s="13">
        <f>('On-Road'!AE8*'On-Road'!AE4)+('On-Road'!AE9*'On-Road'!AE5)</f>
        <v>34694864.821379766</v>
      </c>
      <c r="AF43" s="13">
        <f>('On-Road'!AF8*'On-Road'!AF4)+('On-Road'!AF9*'On-Road'!AF5)</f>
        <v>33928501.394637942</v>
      </c>
      <c r="AG43" s="13">
        <f>('On-Road'!AG8*'On-Road'!AG4)+('On-Road'!AG9*'On-Road'!AG5)</f>
        <v>33129582.61808027</v>
      </c>
      <c r="AH43" s="13">
        <f>('On-Road'!AH8*'On-Road'!AH4)+('On-Road'!AH9*'On-Road'!AH5)</f>
        <v>32298969.861808788</v>
      </c>
      <c r="AI43" s="39">
        <f>('On-Road'!AI8*'On-Road'!AI4)+('On-Road'!AI9*'On-Road'!AI5)</f>
        <v>31437403.472805742</v>
      </c>
    </row>
    <row r="44" spans="1:48" s="2" customFormat="1" ht="14.25" outlineLevel="2">
      <c r="A44" s="312"/>
      <c r="B44" s="316"/>
      <c r="C44" s="54" t="s">
        <v>13</v>
      </c>
      <c r="D44" s="15">
        <f>SUM('On-Road'!D26:D27)</f>
        <v>2896583.8337535132</v>
      </c>
      <c r="E44" s="15">
        <f>SUM('On-Road'!E26:E27)</f>
        <v>2827839.5303763943</v>
      </c>
      <c r="F44" s="15">
        <f>SUM('On-Road'!F26:F27)</f>
        <v>2754861.3797805309</v>
      </c>
      <c r="G44" s="15">
        <f>SUM('On-Road'!G26:G27)</f>
        <v>2679136.2885326599</v>
      </c>
      <c r="H44" s="15">
        <f>SUM('On-Road'!H26:H27)</f>
        <v>2599476.0992094786</v>
      </c>
      <c r="I44" s="15">
        <f>SUM('On-Road'!I26:I27)</f>
        <v>2526015.3327358314</v>
      </c>
      <c r="J44" s="15">
        <f>SUM('On-Road'!J26:J27)</f>
        <v>2452222.6527299043</v>
      </c>
      <c r="K44" s="15">
        <f>SUM('On-Road'!K26:K27)</f>
        <v>2391861.404183418</v>
      </c>
      <c r="L44" s="15">
        <f>SUM('On-Road'!L26:L27)</f>
        <v>2335907.9340141709</v>
      </c>
      <c r="M44" s="15">
        <f>SUM('On-Road'!M26:M27)</f>
        <v>2283855.8343583625</v>
      </c>
      <c r="N44" s="15">
        <f>SUM('On-Road'!N26:N27)</f>
        <v>2235865.2004497084</v>
      </c>
      <c r="O44" s="15">
        <f>SUM('On-Road'!O26:O27)</f>
        <v>2191478.4115595934</v>
      </c>
      <c r="P44" s="15">
        <f>SUM('On-Road'!P26:P27)</f>
        <v>2150575.4925285392</v>
      </c>
      <c r="Q44" s="15">
        <f>SUM('On-Road'!Q26:Q27)</f>
        <v>2112879.0650642635</v>
      </c>
      <c r="R44" s="15">
        <f>SUM('On-Road'!R26:R27)</f>
        <v>2078052.1076558204</v>
      </c>
      <c r="S44" s="15">
        <f>SUM('On-Road'!S26:S27)</f>
        <v>2045091.4008642137</v>
      </c>
      <c r="T44" s="15">
        <f>SUM('On-Road'!T26:T27)</f>
        <v>2014745.557916851</v>
      </c>
      <c r="U44" s="15">
        <f>SUM('On-Road'!U26:U27)</f>
        <v>1986679.3254820115</v>
      </c>
      <c r="V44" s="15">
        <f>SUM('On-Road'!V26:V27)</f>
        <v>1960772.8400314418</v>
      </c>
      <c r="W44" s="15">
        <f>SUM('On-Road'!W26:W27)</f>
        <v>1936608.7427901272</v>
      </c>
      <c r="X44" s="15">
        <f>SUM('On-Road'!X26:X27)</f>
        <v>1914007.5551795003</v>
      </c>
      <c r="Y44" s="15">
        <f>SUM('On-Road'!Y26:Y27)</f>
        <v>1892573.339433386</v>
      </c>
      <c r="Z44" s="15">
        <f>SUM('On-Road'!Z26:Z27)</f>
        <v>1862991.4954674484</v>
      </c>
      <c r="AA44" s="15">
        <f>SUM('On-Road'!AA26:AA27)</f>
        <v>1833049.7437485219</v>
      </c>
      <c r="AB44" s="15">
        <f>SUM('On-Road'!AB26:AB27)</f>
        <v>1802359.6921308576</v>
      </c>
      <c r="AC44" s="15">
        <f>SUM('On-Road'!AC26:AC27)</f>
        <v>1770987.1504268562</v>
      </c>
      <c r="AD44" s="15">
        <f>SUM('On-Road'!AD26:AD27)</f>
        <v>1739003.3082831961</v>
      </c>
      <c r="AE44" s="15">
        <f>SUM('On-Road'!AE26:AE27)</f>
        <v>1706477.1649610077</v>
      </c>
      <c r="AF44" s="15">
        <f>SUM('On-Road'!AF26:AF27)</f>
        <v>1673476.4885619802</v>
      </c>
      <c r="AG44" s="15">
        <f>SUM('On-Road'!AG26:AG27)</f>
        <v>1640060.6674371096</v>
      </c>
      <c r="AH44" s="15">
        <f>SUM('On-Road'!AH26:AH27)</f>
        <v>1606293.1538492115</v>
      </c>
      <c r="AI44" s="174">
        <f>SUM('On-Road'!AI26:AI27)</f>
        <v>1572231.0449926835</v>
      </c>
    </row>
    <row r="45" spans="1:48" s="2" customFormat="1" ht="14.25" outlineLevel="2">
      <c r="A45" s="312"/>
      <c r="B45" s="316"/>
      <c r="C45" s="54" t="s">
        <v>14</v>
      </c>
      <c r="D45" s="13">
        <f>('On-Road'!D12*'On-Road'!D4)+('On-Road'!D13*'On-Road'!D5)</f>
        <v>60660657</v>
      </c>
      <c r="E45" s="13">
        <f>('On-Road'!E12*'On-Road'!E4)+('On-Road'!E13*'On-Road'!E5)</f>
        <v>60546241.770478368</v>
      </c>
      <c r="F45" s="13">
        <f>('On-Road'!F12*'On-Road'!F4)+('On-Road'!F13*'On-Road'!F5)</f>
        <v>60428794.459584527</v>
      </c>
      <c r="G45" s="13">
        <f>('On-Road'!G12*'On-Road'!G4)+('On-Road'!G13*'On-Road'!G5)</f>
        <v>60312340.984360866</v>
      </c>
      <c r="H45" s="13">
        <f>('On-Road'!H12*'On-Road'!H4)+('On-Road'!H13*'On-Road'!H5)</f>
        <v>60176356.621049933</v>
      </c>
      <c r="I45" s="13">
        <f>('On-Road'!I12*'On-Road'!I4)+('On-Road'!I13*'On-Road'!I5)</f>
        <v>60192143.059051074</v>
      </c>
      <c r="J45" s="13">
        <f>('On-Road'!J12*'On-Road'!J4)+('On-Road'!J13*'On-Road'!J5)</f>
        <v>60243858.791236259</v>
      </c>
      <c r="K45" s="13">
        <f>('On-Road'!K12*'On-Road'!K4)+('On-Road'!K13*'On-Road'!K5)</f>
        <v>60506734.959140621</v>
      </c>
      <c r="L45" s="13">
        <f>('On-Road'!L12*'On-Road'!L4)+('On-Road'!L13*'On-Road'!L5)</f>
        <v>60780069.49516581</v>
      </c>
      <c r="M45" s="13">
        <f>('On-Road'!M12*'On-Road'!M4)+('On-Road'!M13*'On-Road'!M5)</f>
        <v>61028304.410346232</v>
      </c>
      <c r="N45" s="13">
        <f>('On-Road'!N12*'On-Road'!N4)+('On-Road'!N13*'On-Road'!N5)</f>
        <v>61250240.358242758</v>
      </c>
      <c r="O45" s="13">
        <f>('On-Road'!O12*'On-Road'!O4)+('On-Road'!O13*'On-Road'!O5)</f>
        <v>61444498.039232723</v>
      </c>
      <c r="P45" s="13">
        <f>('On-Road'!P12*'On-Road'!P4)+('On-Road'!P13*'On-Road'!P5)</f>
        <v>61610448.089266464</v>
      </c>
      <c r="Q45" s="13">
        <f>('On-Road'!Q12*'On-Road'!Q4)+('On-Road'!Q13*'On-Road'!Q5)</f>
        <v>61745745.429923035</v>
      </c>
      <c r="R45" s="13">
        <f>('On-Road'!R12*'On-Road'!R4)+('On-Road'!R13*'On-Road'!R5)</f>
        <v>61848780.258166812</v>
      </c>
      <c r="S45" s="13">
        <f>('On-Road'!S12*'On-Road'!S4)+('On-Road'!S13*'On-Road'!S5)</f>
        <v>61898380.0366899</v>
      </c>
      <c r="T45" s="13">
        <f>('On-Road'!T12*'On-Road'!T4)+('On-Road'!T13*'On-Road'!T5)</f>
        <v>61912420.439522609</v>
      </c>
      <c r="U45" s="13">
        <f>('On-Road'!U12*'On-Road'!U4)+('On-Road'!U13*'On-Road'!U5)</f>
        <v>61889438.985360786</v>
      </c>
      <c r="V45" s="13">
        <f>('On-Road'!V12*'On-Road'!V4)+('On-Road'!V13*'On-Road'!V5)</f>
        <v>61828659.521086276</v>
      </c>
      <c r="W45" s="13">
        <f>('On-Road'!W12*'On-Road'!W4)+('On-Road'!W13*'On-Road'!W5)</f>
        <v>61728881.510980338</v>
      </c>
      <c r="X45" s="13">
        <f>('On-Road'!X12*'On-Road'!X4)+('On-Road'!X13*'On-Road'!X5)</f>
        <v>61589185.581790075</v>
      </c>
      <c r="Y45" s="13">
        <f>('On-Road'!Y12*'On-Road'!Y4)+('On-Road'!Y13*'On-Road'!Y5)</f>
        <v>61408924.95096641</v>
      </c>
      <c r="Z45" s="13">
        <f>('On-Road'!Z12*'On-Road'!Z4)+('On-Road'!Z13*'On-Road'!Z5)</f>
        <v>61185750.044514336</v>
      </c>
      <c r="AA45" s="13">
        <f>('On-Road'!AA12*'On-Road'!AA4)+('On-Road'!AA13*'On-Road'!AA5)</f>
        <v>60924809.371156476</v>
      </c>
      <c r="AB45" s="13">
        <f>('On-Road'!AB12*'On-Road'!AB4)+('On-Road'!AB13*'On-Road'!AB5)</f>
        <v>60623625.784434929</v>
      </c>
      <c r="AC45" s="13">
        <f>('On-Road'!AC12*'On-Road'!AC4)+('On-Road'!AC13*'On-Road'!AC5)</f>
        <v>60283209.116479859</v>
      </c>
      <c r="AD45" s="13">
        <f>('On-Road'!AD12*'On-Road'!AD4)+('On-Road'!AD13*'On-Road'!AD5)</f>
        <v>59904834.69231569</v>
      </c>
      <c r="AE45" s="13">
        <f>('On-Road'!AE12*'On-Road'!AE4)+('On-Road'!AE13*'On-Road'!AE5)</f>
        <v>59489793.245425977</v>
      </c>
      <c r="AF45" s="13">
        <f>('On-Road'!AF12*'On-Road'!AF4)+('On-Road'!AF13*'On-Road'!AF5)</f>
        <v>59039423.215254903</v>
      </c>
      <c r="AG45" s="13">
        <f>('On-Road'!AG12*'On-Road'!AG4)+('On-Road'!AG13*'On-Road'!AG5)</f>
        <v>58554855.920227557</v>
      </c>
      <c r="AH45" s="13">
        <f>('On-Road'!AH12*'On-Road'!AH4)+('On-Road'!AH13*'On-Road'!AH5)</f>
        <v>58037450.229389124</v>
      </c>
      <c r="AI45" s="39">
        <f>('On-Road'!AI12*'On-Road'!AI4)+('On-Road'!AI13*'On-Road'!AI5)</f>
        <v>57488423.065150075</v>
      </c>
    </row>
    <row r="46" spans="1:48" s="2" customFormat="1" outlineLevel="2" thickBot="1">
      <c r="A46" s="312"/>
      <c r="B46" s="317"/>
      <c r="C46" s="175" t="s">
        <v>15</v>
      </c>
      <c r="D46" s="172">
        <f>SUM('On-Road'!D14:D15)</f>
        <v>2134400.4872409822</v>
      </c>
      <c r="E46" s="172">
        <f>SUM('On-Road'!E14:E15)</f>
        <v>2897019.4549648371</v>
      </c>
      <c r="F46" s="172">
        <f>SUM('On-Road'!F14:F15)</f>
        <v>3690663.3691059938</v>
      </c>
      <c r="G46" s="172">
        <f>SUM('On-Road'!G14:G15)</f>
        <v>4475353.6763539035</v>
      </c>
      <c r="H46" s="172">
        <f>SUM('On-Road'!H14:H15)</f>
        <v>5249195.0018480532</v>
      </c>
      <c r="I46" s="172">
        <f>SUM('On-Road'!I14:I15)</f>
        <v>6028414.2590311011</v>
      </c>
      <c r="J46" s="172">
        <f>SUM('On-Road'!J14:J15)</f>
        <v>6805560.1108045215</v>
      </c>
      <c r="K46" s="172">
        <f>SUM('On-Road'!K14:K15)</f>
        <v>7603734.6831708718</v>
      </c>
      <c r="L46" s="172">
        <f>SUM('On-Road'!L14:L15)</f>
        <v>8402819.9032020252</v>
      </c>
      <c r="M46" s="172">
        <f>SUM('On-Road'!M14:M15)</f>
        <v>9197385.9190575965</v>
      </c>
      <c r="N46" s="172">
        <f>SUM('On-Road'!N14:N15)</f>
        <v>9985798.6275525969</v>
      </c>
      <c r="O46" s="172">
        <f>SUM('On-Road'!O14:O15)</f>
        <v>10766313.306196051</v>
      </c>
      <c r="P46" s="172">
        <f>SUM('On-Road'!P14:P15)</f>
        <v>11684814.998024825</v>
      </c>
      <c r="Q46" s="172">
        <f>SUM('On-Road'!Q14:Q15)</f>
        <v>12617629.596052192</v>
      </c>
      <c r="R46" s="172">
        <f>SUM('On-Road'!R14:R15)</f>
        <v>13563845.121095119</v>
      </c>
      <c r="S46" s="172">
        <f>SUM('On-Road'!S14:S15)</f>
        <v>14517875.567901742</v>
      </c>
      <c r="T46" s="172">
        <f>SUM('On-Road'!T14:T15)</f>
        <v>15482598.272906981</v>
      </c>
      <c r="U46" s="172">
        <f>SUM('On-Road'!U14:U15)</f>
        <v>16456857.5934768</v>
      </c>
      <c r="V46" s="172">
        <f>SUM('On-Road'!V14:V15)</f>
        <v>17439605.761719216</v>
      </c>
      <c r="W46" s="172">
        <f>SUM('On-Road'!W14:W15)</f>
        <v>18429621.560899656</v>
      </c>
      <c r="X46" s="172">
        <f>SUM('On-Road'!X14:X15)</f>
        <v>19425691.682415757</v>
      </c>
      <c r="Y46" s="172">
        <f>SUM('On-Road'!Y14:Y15)</f>
        <v>20426624.154866867</v>
      </c>
      <c r="Z46" s="172">
        <f>SUM('On-Road'!Z14:Z15)</f>
        <v>21474843.044318363</v>
      </c>
      <c r="AA46" s="172">
        <f>SUM('On-Road'!AA14:AA15)</f>
        <v>22534566.130544432</v>
      </c>
      <c r="AB46" s="172">
        <f>SUM('On-Road'!AB14:AB15)</f>
        <v>23605251.041180205</v>
      </c>
      <c r="AC46" s="172">
        <f>SUM('On-Road'!AC14:AC15)</f>
        <v>24686511.800964452</v>
      </c>
      <c r="AD46" s="172">
        <f>SUM('On-Road'!AD14:AD15)</f>
        <v>25778126.336114008</v>
      </c>
      <c r="AE46" s="172">
        <f>SUM('On-Road'!AE14:AE15)</f>
        <v>26879955.812321536</v>
      </c>
      <c r="AF46" s="172">
        <f>SUM('On-Road'!AF14:AF15)</f>
        <v>27991967.904961407</v>
      </c>
      <c r="AG46" s="172">
        <f>SUM('On-Road'!AG14:AG15)</f>
        <v>29114122.750619896</v>
      </c>
      <c r="AH46" s="172">
        <f>SUM('On-Road'!AH14:AH15)</f>
        <v>30246583.152723104</v>
      </c>
      <c r="AI46" s="173">
        <f>SUM('On-Road'!AI14:AI15)</f>
        <v>31389548.801517926</v>
      </c>
    </row>
    <row r="47" spans="1:48" s="2" customFormat="1" ht="15.75" outlineLevel="2" thickBot="1">
      <c r="A47" s="313"/>
      <c r="B47" s="52" t="s">
        <v>16</v>
      </c>
      <c r="C47" s="185" t="s">
        <v>106</v>
      </c>
      <c r="D47" s="19">
        <v>206977</v>
      </c>
      <c r="E47" s="19">
        <f>D47*(1+'Constants and Trends'!E24)</f>
        <v>209304.60950404048</v>
      </c>
      <c r="F47" s="19">
        <f>E47*(1+'Constants and Trends'!F24)</f>
        <v>211690.92261698551</v>
      </c>
      <c r="G47" s="19">
        <f>F47*(1+'Constants and Trends'!G24)</f>
        <v>214152.62102541319</v>
      </c>
      <c r="H47" s="19">
        <f>G47*(1+'Constants and Trends'!H24)</f>
        <v>216618.56321428547</v>
      </c>
      <c r="I47" s="19">
        <f>H47*(1+'Constants and Trends'!I24)</f>
        <v>219713.47174625116</v>
      </c>
      <c r="J47" s="19">
        <f>I47*(1+'Constants and Trends'!J24)</f>
        <v>223034.28563508124</v>
      </c>
      <c r="K47" s="19">
        <f>J47*(1+'Constants and Trends'!K24)</f>
        <v>227247.63559324431</v>
      </c>
      <c r="L47" s="19">
        <f>K47*(1+'Constants and Trends'!L24)</f>
        <v>231626.52022300824</v>
      </c>
      <c r="M47" s="19">
        <f>L47*(1+'Constants and Trends'!M24)</f>
        <v>236039.27026699719</v>
      </c>
      <c r="N47" s="19">
        <f>M47*(1+'Constants and Trends'!N24)</f>
        <v>240481.17345985674</v>
      </c>
      <c r="O47" s="19">
        <f>N47*(1+'Constants and Trends'!O24)</f>
        <v>244946.64033736469</v>
      </c>
      <c r="P47" s="19">
        <f>O47*(1+'Constants and Trends'!P24)</f>
        <v>249432.98685706398</v>
      </c>
      <c r="Q47" s="19">
        <f>P47*(1+'Constants and Trends'!Q24)</f>
        <v>253930.58420915683</v>
      </c>
      <c r="R47" s="19">
        <f>Q47*(1+'Constants and Trends'!R24)</f>
        <v>258432.57269814104</v>
      </c>
      <c r="S47" s="19">
        <f>R47*(1+'Constants and Trends'!S24)</f>
        <v>262848.89222284494</v>
      </c>
      <c r="T47" s="19">
        <f>S47*(1+'Constants and Trends'!T24)</f>
        <v>267252.38181690749</v>
      </c>
      <c r="U47" s="19">
        <f>T47*(1+'Constants and Trends'!U24)</f>
        <v>271636.15262005402</v>
      </c>
      <c r="V47" s="19">
        <f>U47*(1+'Constants and Trends'!V24)</f>
        <v>275996.0999069846</v>
      </c>
      <c r="W47" s="19">
        <f>V47*(1+'Constants and Trends'!W24)</f>
        <v>280326.03252258123</v>
      </c>
      <c r="X47" s="19">
        <f>W47*(1+'Constants and Trends'!X24)</f>
        <v>284620.68449190416</v>
      </c>
      <c r="Y47" s="19">
        <f>X47*(1+'Constants and Trends'!Y24)</f>
        <v>288875.70198270347</v>
      </c>
      <c r="Z47" s="19">
        <f>Y47*(1+'Constants and Trends'!Z24)</f>
        <v>293088.19100833568</v>
      </c>
      <c r="AA47" s="19">
        <f>Z47*(1+'Constants and Trends'!AA24)</f>
        <v>297257.46466369892</v>
      </c>
      <c r="AB47" s="19">
        <f>AA47*(1+'Constants and Trends'!AB24)</f>
        <v>301384.44478743192</v>
      </c>
      <c r="AC47" s="19">
        <f>AB47*(1+'Constants and Trends'!AC24)</f>
        <v>305471.80152725754</v>
      </c>
      <c r="AD47" s="19">
        <f>AC47*(1+'Constants and Trends'!AD24)</f>
        <v>309523.78684360028</v>
      </c>
      <c r="AE47" s="19">
        <f>AD47*(1+'Constants and Trends'!AE24)</f>
        <v>313545.07507156971</v>
      </c>
      <c r="AF47" s="19">
        <f>AE47*(1+'Constants and Trends'!AF24)</f>
        <v>317540.97986126883</v>
      </c>
      <c r="AG47" s="19">
        <f>AF47*(1+'Constants and Trends'!AG24)</f>
        <v>321516.12176083971</v>
      </c>
      <c r="AH47" s="19">
        <f>AG47*(1+'Constants and Trends'!AH24)</f>
        <v>325476.79190937348</v>
      </c>
      <c r="AI47" s="43">
        <f>AH47*(1+'Constants and Trends'!AI24)</f>
        <v>329429.01685697207</v>
      </c>
    </row>
    <row r="48" spans="1:48" s="2" customFormat="1" ht="15.75" outlineLevel="2" thickBot="1">
      <c r="A48" s="312"/>
      <c r="B48" s="52" t="s">
        <v>105</v>
      </c>
      <c r="C48" s="57" t="s">
        <v>107</v>
      </c>
      <c r="D48" s="16">
        <v>39350</v>
      </c>
      <c r="E48" s="16">
        <f>D48*(1+'Constants and Trends'!E24)</f>
        <v>39792.519864448674</v>
      </c>
      <c r="F48" s="16">
        <f>E48*(1+'Constants and Trends'!F24)</f>
        <v>40246.200326501879</v>
      </c>
      <c r="G48" s="16">
        <f>F48*(1+'Constants and Trends'!G24)</f>
        <v>40714.2128707538</v>
      </c>
      <c r="H48" s="16">
        <f>G48*(1+'Constants and Trends'!H24)</f>
        <v>41183.032232963727</v>
      </c>
      <c r="I48" s="16">
        <f>H48*(1+'Constants and Trends'!I24)</f>
        <v>41771.429256463198</v>
      </c>
      <c r="J48" s="16">
        <f>I48*(1+'Constants and Trends'!J24)</f>
        <v>42402.774896439929</v>
      </c>
      <c r="K48" s="16">
        <f>J48*(1+'Constants and Trends'!K24)</f>
        <v>43203.807479063689</v>
      </c>
      <c r="L48" s="16">
        <f>K48*(1+'Constants and Trends'!L24)</f>
        <v>44036.311139766134</v>
      </c>
      <c r="M48" s="16">
        <f>L48*(1+'Constants and Trends'!M24)</f>
        <v>44875.253216571604</v>
      </c>
      <c r="N48" s="16">
        <f>M48*(1+'Constants and Trends'!N24)</f>
        <v>45719.737824228607</v>
      </c>
      <c r="O48" s="16">
        <f>N48*(1+'Constants and Trends'!O24)</f>
        <v>46568.702306417152</v>
      </c>
      <c r="P48" s="16">
        <f>O48*(1+'Constants and Trends'!P24)</f>
        <v>47421.636379044387</v>
      </c>
      <c r="Q48" s="16">
        <f>P48*(1+'Constants and Trends'!Q24)</f>
        <v>48276.709434528108</v>
      </c>
      <c r="R48" s="16">
        <f>Q48*(1+'Constants and Trends'!R24)</f>
        <v>49132.61732304484</v>
      </c>
      <c r="S48" s="16">
        <f>R48*(1+'Constants and Trends'!S24)</f>
        <v>49972.238021465913</v>
      </c>
      <c r="T48" s="16">
        <f>S48*(1+'Constants and Trends'!T24)</f>
        <v>50809.419522436365</v>
      </c>
      <c r="U48" s="16">
        <f>T48*(1+'Constants and Trends'!U24)</f>
        <v>51642.852131392028</v>
      </c>
      <c r="V48" s="16">
        <f>U48*(1+'Constants and Trends'!V24)</f>
        <v>52471.755467225077</v>
      </c>
      <c r="W48" s="16">
        <f>V48*(1+'Constants and Trends'!W24)</f>
        <v>53294.95248150071</v>
      </c>
      <c r="X48" s="16">
        <f>W48*(1+'Constants and Trends'!X24)</f>
        <v>54111.442018951042</v>
      </c>
      <c r="Y48" s="16">
        <f>X48*(1+'Constants and Trends'!Y24)</f>
        <v>54920.396338817271</v>
      </c>
      <c r="Z48" s="16">
        <f>Y48*(1+'Constants and Trends'!Z24)</f>
        <v>55721.265242891772</v>
      </c>
      <c r="AA48" s="16">
        <f>Z48*(1+'Constants and Trends'!AA24)</f>
        <v>56513.91813832723</v>
      </c>
      <c r="AB48" s="16">
        <f>AA48*(1+'Constants and Trends'!AB24)</f>
        <v>57298.53028300462</v>
      </c>
      <c r="AC48" s="16">
        <f>AB48*(1+'Constants and Trends'!AC24)</f>
        <v>58075.609319381307</v>
      </c>
      <c r="AD48" s="16">
        <f>AC48*(1+'Constants and Trends'!AD24)</f>
        <v>58845.963620574614</v>
      </c>
      <c r="AE48" s="16">
        <f>AD48*(1+'Constants and Trends'!AE24)</f>
        <v>59610.481860623491</v>
      </c>
      <c r="AF48" s="16">
        <f>AE48*(1+'Constants and Trends'!AF24)</f>
        <v>60370.17425869024</v>
      </c>
      <c r="AG48" s="16">
        <f>AF48*(1+'Constants and Trends'!AG24)</f>
        <v>61125.919262956966</v>
      </c>
      <c r="AH48" s="16">
        <f>AG48*(1+'Constants and Trends'!AH24)</f>
        <v>61878.91293058575</v>
      </c>
      <c r="AI48" s="40">
        <f>AH48*(1+'Constants and Trends'!AI24)</f>
        <v>62630.301015677345</v>
      </c>
    </row>
    <row r="49" spans="1:36" s="2" customFormat="1" ht="24.6" customHeight="1" outlineLevel="2">
      <c r="A49" s="312"/>
      <c r="B49" s="326" t="s">
        <v>17</v>
      </c>
      <c r="C49" s="59" t="s">
        <v>227</v>
      </c>
      <c r="D49" s="14">
        <v>1227477</v>
      </c>
      <c r="E49" s="14">
        <f>D49*(1+'Constants and Trends'!E27)</f>
        <v>1237989.3700621142</v>
      </c>
      <c r="F49" s="14">
        <f>E49*(1+'Constants and Trends'!F27)</f>
        <v>1249685.7400202942</v>
      </c>
      <c r="G49" s="14">
        <f>F49*(1+'Constants and Trends'!G27)</f>
        <v>1261763.6391890426</v>
      </c>
      <c r="H49" s="14">
        <f>G49*(1+'Constants and Trends'!H27)</f>
        <v>1274275.5046647554</v>
      </c>
      <c r="I49" s="14">
        <f>H49*(1+'Constants and Trends'!I27)</f>
        <v>1287808.6284988578</v>
      </c>
      <c r="J49" s="14">
        <f>I49*(1+'Constants and Trends'!J27)</f>
        <v>1302446.3719150194</v>
      </c>
      <c r="K49" s="14">
        <f>J49*(1+'Constants and Trends'!K27)</f>
        <v>1318504.2144296856</v>
      </c>
      <c r="L49" s="14">
        <f>K49*(1+'Constants and Trends'!L27)</f>
        <v>1335192.782725937</v>
      </c>
      <c r="M49" s="14">
        <f>L49*(1+'Constants and Trends'!M27)</f>
        <v>1351587.6329204238</v>
      </c>
      <c r="N49" s="14">
        <f>M49*(1+'Constants and Trends'!N27)</f>
        <v>1367537.192611709</v>
      </c>
      <c r="O49" s="14">
        <f>N49*(1+'Constants and Trends'!O27)</f>
        <v>1383082.2151667238</v>
      </c>
      <c r="P49" s="14">
        <f>O49*(1+'Constants and Trends'!P27)</f>
        <v>1398251.2307058633</v>
      </c>
      <c r="Q49" s="14">
        <f>P49*(1+'Constants and Trends'!Q27)</f>
        <v>1412941.3449892597</v>
      </c>
      <c r="R49" s="14">
        <f>Q49*(1+'Constants and Trends'!R27)</f>
        <v>1427137.384712616</v>
      </c>
      <c r="S49" s="14">
        <f>R49*(1+'Constants and Trends'!S27)</f>
        <v>1440750.4146393058</v>
      </c>
      <c r="T49" s="14">
        <f>S49*(1+'Constants and Trends'!T27)</f>
        <v>1453949.3523162198</v>
      </c>
      <c r="U49" s="14">
        <f>T49*(1+'Constants and Trends'!U27)</f>
        <v>1466711.3094178138</v>
      </c>
      <c r="V49" s="14">
        <f>U49*(1+'Constants and Trends'!V27)</f>
        <v>1479009.97022874</v>
      </c>
      <c r="W49" s="14">
        <f>V49*(1+'Constants and Trends'!W27)</f>
        <v>1490855.4374673623</v>
      </c>
      <c r="X49" s="14">
        <f>('Constants and Trends'!$D$23*(1+'Constants and Trends'!X25)*(4.9/'Constants and Trends'!$A$7))*365</f>
        <v>69414.768380493784</v>
      </c>
      <c r="Y49" s="14">
        <f>('Constants and Trends'!$D$23*(1+'Constants and Trends'!Y25)*(4.9/'Constants and Trends'!$A$7))*365</f>
        <v>70452.504109736561</v>
      </c>
      <c r="Z49" s="14">
        <f>('Constants and Trends'!$D$23*(1+'Constants and Trends'!Z25)*(4.9/'Constants and Trends'!$A$7))*365</f>
        <v>71479.867776371102</v>
      </c>
      <c r="AA49" s="14">
        <f>('Constants and Trends'!$D$23*(1+'Constants and Trends'!AA25)*(4.9/'Constants and Trends'!$A$7))*365</f>
        <v>72496.691854419318</v>
      </c>
      <c r="AB49" s="14">
        <f>('Constants and Trends'!$D$23*(1+'Constants and Trends'!AB25)*(4.9/'Constants and Trends'!$A$7))*365</f>
        <v>73503.20116666847</v>
      </c>
      <c r="AC49" s="14">
        <f>('Constants and Trends'!$D$23*(1+'Constants and Trends'!AC25)*(4.9/'Constants and Trends'!$A$7))*365</f>
        <v>74500.046922590715</v>
      </c>
      <c r="AD49" s="14">
        <f>('Constants and Trends'!$D$23*(1+'Constants and Trends'!AD25)*(4.9/'Constants and Trends'!$A$7))*365</f>
        <v>75488.266112342171</v>
      </c>
      <c r="AE49" s="14">
        <f>('Constants and Trends'!$D$23*(1+'Constants and Trends'!AE25)*(4.9/'Constants and Trends'!$A$7))*365</f>
        <v>76468.998737007205</v>
      </c>
      <c r="AF49" s="14">
        <f>('Constants and Trends'!$D$23*(1+'Constants and Trends'!AF25)*(4.9/'Constants and Trends'!$A$7))*365</f>
        <v>77443.54071712587</v>
      </c>
      <c r="AG49" s="14">
        <f>('Constants and Trends'!$D$23*(1+'Constants and Trends'!AG25)*(4.9/'Constants and Trends'!$A$7))*365</f>
        <v>78413.018935938017</v>
      </c>
      <c r="AH49" s="14">
        <f>('Constants and Trends'!$D$23*(1+'Constants and Trends'!AH25)*(4.9/'Constants and Trends'!$A$7))*365</f>
        <v>79378.967709066725</v>
      </c>
      <c r="AI49" s="38">
        <f>('Constants and Trends'!$D$23*(1+'Constants and Trends'!AI25)*(4.9/'Constants and Trends'!$A$7))*365</f>
        <v>80342.856822800371</v>
      </c>
    </row>
    <row r="50" spans="1:36" s="2" customFormat="1" outlineLevel="2" thickBot="1">
      <c r="A50" s="314"/>
      <c r="B50" s="327"/>
      <c r="C50" s="247" t="s">
        <v>228</v>
      </c>
      <c r="D50" s="248">
        <v>10688</v>
      </c>
      <c r="E50" s="248">
        <f>D50*(1+'Constants and Trends'!E27)</f>
        <v>10779.534270070948</v>
      </c>
      <c r="F50" s="248">
        <f>E50*(1+'Constants and Trends'!F27)</f>
        <v>10881.377972326085</v>
      </c>
      <c r="G50" s="248">
        <f>F50*(1+'Constants and Trends'!G27)</f>
        <v>10986.543760618317</v>
      </c>
      <c r="H50" s="248">
        <f>G50*(1+'Constants and Trends'!H27)</f>
        <v>11095.488220029301</v>
      </c>
      <c r="I50" s="248">
        <f>H50*(1+'Constants and Trends'!I27)</f>
        <v>11213.325073623206</v>
      </c>
      <c r="J50" s="248">
        <f>I50*(1+'Constants and Trends'!J27)</f>
        <v>11340.78017187102</v>
      </c>
      <c r="K50" s="248">
        <f>J50*(1+'Constants and Trends'!K27)</f>
        <v>11480.600486872241</v>
      </c>
      <c r="L50" s="248">
        <f>K50*(1+'Constants and Trends'!L27)</f>
        <v>11625.912715085344</v>
      </c>
      <c r="M50" s="248">
        <f>L50*(1+'Constants and Trends'!M27)</f>
        <v>11768.667454179173</v>
      </c>
      <c r="N50" s="248">
        <f>M50*(1+'Constants and Trends'!N27)</f>
        <v>11907.544919077054</v>
      </c>
      <c r="O50" s="248">
        <f>N50*(1+'Constants and Trends'!O27)</f>
        <v>12042.899961222854</v>
      </c>
      <c r="P50" s="248">
        <f>O50*(1+'Constants and Trends'!P27)</f>
        <v>12174.981000690252</v>
      </c>
      <c r="Q50" s="248">
        <f>P50*(1+'Constants and Trends'!Q27)</f>
        <v>12302.892107343117</v>
      </c>
      <c r="R50" s="248">
        <f>Q50*(1+'Constants and Trends'!R27)</f>
        <v>12426.50116279852</v>
      </c>
      <c r="S50" s="248">
        <f>R50*(1+'Constants and Trends'!S27)</f>
        <v>12545.033782030052</v>
      </c>
      <c r="T50" s="248">
        <f>S50*(1+'Constants and Trends'!T27)</f>
        <v>12659.96077935127</v>
      </c>
      <c r="U50" s="248">
        <f>T50*(1+'Constants and Trends'!U27)</f>
        <v>12771.082859440621</v>
      </c>
      <c r="V50" s="248">
        <f>U50*(1+'Constants and Trends'!V27)</f>
        <v>12878.170883694584</v>
      </c>
      <c r="W50" s="248">
        <f>V50*(1+'Constants and Trends'!W27)</f>
        <v>12981.312819426492</v>
      </c>
      <c r="X50" s="248">
        <f>W50*(1+'Constants and Trends'!X27)</f>
        <v>13079.990116014418</v>
      </c>
      <c r="Y50" s="248">
        <f>X50*(1+'Constants and Trends'!Y27)</f>
        <v>13171.749341117547</v>
      </c>
      <c r="Z50" s="248">
        <f>Y50*(1+'Constants and Trends'!Z27)</f>
        <v>13256.587100438364</v>
      </c>
      <c r="AA50" s="248">
        <f>Z50*(1+'Constants and Trends'!AA27)</f>
        <v>13333.298155916191</v>
      </c>
      <c r="AB50" s="248">
        <f>AA50*(1+'Constants and Trends'!AB27)</f>
        <v>13402.634492454859</v>
      </c>
      <c r="AC50" s="248">
        <f>AB50*(1+'Constants and Trends'!AC27)</f>
        <v>13464.589717573748</v>
      </c>
      <c r="AD50" s="248">
        <f>AC50*(1+'Constants and Trends'!AD27)</f>
        <v>13523.253526923972</v>
      </c>
      <c r="AE50" s="248">
        <f>AD50*(1+'Constants and Trends'!AE27)</f>
        <v>13579.054376260088</v>
      </c>
      <c r="AF50" s="248">
        <f>AE50*(1+'Constants and Trends'!AF27)</f>
        <v>13628.866371966373</v>
      </c>
      <c r="AG50" s="248">
        <f>AF50*(1+'Constants and Trends'!AG27)</f>
        <v>13675.915225192606</v>
      </c>
      <c r="AH50" s="248">
        <f>AG50*(1+'Constants and Trends'!AH27)</f>
        <v>13721.438795668331</v>
      </c>
      <c r="AI50" s="249">
        <f>AH50*(1+'Constants and Trends'!AI27)</f>
        <v>13761.834889346688</v>
      </c>
      <c r="AJ50" s="246"/>
    </row>
    <row r="51" spans="1:36" s="2" customFormat="1" ht="14.25" outlineLevel="2">
      <c r="A51" s="323" t="s">
        <v>18</v>
      </c>
      <c r="B51" s="318" t="s">
        <v>6</v>
      </c>
      <c r="C51" s="59" t="s">
        <v>111</v>
      </c>
      <c r="D51" s="65">
        <f>D36*'Constants and Trends'!R31/'Constants and Trends'!$A$5</f>
        <v>141021.64079122571</v>
      </c>
      <c r="E51" s="50">
        <f>E36*'Constants and Trends'!S31/'Constants and Trends'!$A$5</f>
        <v>133952.48779661171</v>
      </c>
      <c r="F51" s="14">
        <f>F36*'Constants and Trends'!T31/'Constants and Trends'!$A$5</f>
        <v>126725.97696249154</v>
      </c>
      <c r="G51" s="14">
        <f>G36*'Constants and Trends'!U31/'Constants and Trends'!$A$5</f>
        <v>119344.12231353999</v>
      </c>
      <c r="H51" s="14">
        <f>H36*'Constants and Trends'!V31/'Constants and Trends'!$A$5</f>
        <v>111760.86765783331</v>
      </c>
      <c r="I51" s="14">
        <f>I36*'Constants and Trends'!W31/'Constants and Trends'!$A$5</f>
        <v>104272.16893238903</v>
      </c>
      <c r="J51" s="14">
        <f>J36*'Constants and Trends'!X31/'Constants and Trends'!$A$5</f>
        <v>96625.381615820093</v>
      </c>
      <c r="K51" s="14">
        <f>K36*'Constants and Trends'!Y31/'Constants and Trends'!$A$5</f>
        <v>89053.720176318602</v>
      </c>
      <c r="L51" s="14">
        <f>L36*'Constants and Trends'!Z31/'Constants and Trends'!$A$5</f>
        <v>81191.627184294965</v>
      </c>
      <c r="M51" s="14">
        <f>M36*'Constants and Trends'!AA31/'Constants and Trends'!$A$5</f>
        <v>72977.858276548242</v>
      </c>
      <c r="N51" s="14">
        <f>N36*'Constants and Trends'!AB31/'Constants and Trends'!$A$5</f>
        <v>64406.950238748963</v>
      </c>
      <c r="O51" s="14">
        <f>O36*'Constants and Trends'!AC31/'Constants and Trends'!$A$5</f>
        <v>55474.020629633858</v>
      </c>
      <c r="P51" s="14">
        <f>P36*'Constants and Trends'!AD31/'Constants and Trends'!$A$5</f>
        <v>56490.061017216671</v>
      </c>
      <c r="Q51" s="14">
        <f>Q36*'Constants and Trends'!AE31/'Constants and Trends'!$A$5</f>
        <v>57508.64942467615</v>
      </c>
      <c r="R51" s="14">
        <f>R36*'Constants and Trends'!AF31/'Constants and Trends'!$A$5</f>
        <v>58528.232310027473</v>
      </c>
      <c r="S51" s="14">
        <f>S36*'Constants and Trends'!AG31/'Constants and Trends'!$A$5</f>
        <v>59528.413411034002</v>
      </c>
      <c r="T51" s="14">
        <f>T36*'Constants and Trends'!AH31/'Constants and Trends'!$A$5</f>
        <v>60525.688867627156</v>
      </c>
      <c r="U51" s="14">
        <f>U36*'Constants and Trends'!AI31/'Constants and Trends'!$A$5</f>
        <v>61518.498532762387</v>
      </c>
      <c r="V51" s="14">
        <f>V36*'Constants and Trends'!AJ31/'Constants and Trends'!$A$5</f>
        <v>62505.91279329759</v>
      </c>
      <c r="W51" s="14">
        <f>W36*'Constants and Trends'!AK31/'Constants and Trends'!$A$5</f>
        <v>63486.529514195281</v>
      </c>
      <c r="X51" s="14">
        <f>X36*'Constants and Trends'!AL31/'Constants and Trends'!$A$5</f>
        <v>64459.156089579978</v>
      </c>
      <c r="Y51" s="14">
        <f>Y36*'Constants and Trends'!AM31/'Constants and Trends'!$A$5</f>
        <v>65422.806490087409</v>
      </c>
      <c r="Z51" s="14">
        <f>Z36*'Constants and Trends'!AN31/'Constants and Trends'!$A$5</f>
        <v>66376.825303279446</v>
      </c>
      <c r="AA51" s="14">
        <f>AA36*'Constants and Trends'!AO31/'Constants and Trends'!$A$5</f>
        <v>67321.056963079551</v>
      </c>
      <c r="AB51" s="14">
        <f>AB36*'Constants and Trends'!AP31/'Constants and Trends'!$A$5</f>
        <v>68255.710241878289</v>
      </c>
      <c r="AC51" s="14">
        <f>AC36*'Constants and Trends'!AQ31/'Constants and Trends'!$A$5</f>
        <v>69181.389858440758</v>
      </c>
      <c r="AD51" s="14">
        <f>AD36*'Constants and Trends'!AR31/'Constants and Trends'!$A$5</f>
        <v>70099.058770821779</v>
      </c>
      <c r="AE51" s="14">
        <f>AE36*'Constants and Trends'!AS31/'Constants and Trends'!$A$5</f>
        <v>71009.775593917759</v>
      </c>
      <c r="AF51" s="14">
        <f>AF36*'Constants and Trends'!AT31/'Constants and Trends'!$A$5</f>
        <v>71914.743730784277</v>
      </c>
      <c r="AG51" s="14">
        <f>AG36*'Constants and Trends'!AU31/'Constants and Trends'!$A$5</f>
        <v>72815.009614973576</v>
      </c>
      <c r="AH51" s="14">
        <f>AH36*'Constants and Trends'!AV31/'Constants and Trends'!$A$5</f>
        <v>73711.998025283363</v>
      </c>
      <c r="AI51" s="38">
        <f>AI36*'Constants and Trends'!AW31/'Constants and Trends'!$A$5</f>
        <v>74607.073818011413</v>
      </c>
    </row>
    <row r="52" spans="1:36" s="2" customFormat="1" ht="14.25" outlineLevel="2">
      <c r="A52" s="324"/>
      <c r="B52" s="319"/>
      <c r="C52" s="60" t="s">
        <v>112</v>
      </c>
      <c r="D52" s="66">
        <f>D37*'Constants and Trends'!R33/'Constants and Trends'!$A$5</f>
        <v>150962.30049300758</v>
      </c>
      <c r="E52" s="13">
        <f>E37*'Constants and Trends'!S33/'Constants and Trends'!$A$5</f>
        <v>145630.00891821575</v>
      </c>
      <c r="F52" s="13">
        <f>F37*'Constants and Trends'!T33/'Constants and Trends'!$A$5</f>
        <v>144548.87585739867</v>
      </c>
      <c r="G52" s="13">
        <f>G37*'Constants and Trends'!U33/'Constants and Trends'!$A$5</f>
        <v>135652.17859605269</v>
      </c>
      <c r="H52" s="13">
        <f>H37*'Constants and Trends'!V33/'Constants and Trends'!$A$5</f>
        <v>126514.7790573761</v>
      </c>
      <c r="I52" s="13">
        <f>I37*'Constants and Trends'!W33/'Constants and Trends'!$A$5</f>
        <v>117470.05703068011</v>
      </c>
      <c r="J52" s="13">
        <f>J37*'Constants and Trends'!X33/'Constants and Trends'!$A$5</f>
        <v>108229.22444257002</v>
      </c>
      <c r="K52" s="13">
        <f>K37*'Constants and Trends'!Y33/'Constants and Trends'!$A$5</f>
        <v>99049.36815570305</v>
      </c>
      <c r="L52" s="13">
        <f>L37*'Constants and Trends'!Z33/'Constants and Trends'!$A$5</f>
        <v>89517.267336715158</v>
      </c>
      <c r="M52" s="13">
        <f>M37*'Constants and Trends'!AA33/'Constants and Trends'!$A$5</f>
        <v>79564.010261032032</v>
      </c>
      <c r="N52" s="13">
        <f>N37*'Constants and Trends'!AB33/'Constants and Trends'!$A$5</f>
        <v>69183.223140068381</v>
      </c>
      <c r="O52" s="13">
        <f>O37*'Constants and Trends'!AC33/'Constants and Trends'!$A$5</f>
        <v>58369.254161475095</v>
      </c>
      <c r="P52" s="13">
        <f>P37*'Constants and Trends'!AD33/'Constants and Trends'!$A$5</f>
        <v>56464.799074544913</v>
      </c>
      <c r="Q52" s="13">
        <f>Q37*'Constants and Trends'!AE33/'Constants and Trends'!$A$5</f>
        <v>54455.792091797921</v>
      </c>
      <c r="R52" s="13">
        <f>R37*'Constants and Trends'!AF33/'Constants and Trends'!$A$5</f>
        <v>52340.441548688927</v>
      </c>
      <c r="S52" s="13">
        <f>S37*'Constants and Trends'!AG33/'Constants and Trends'!$A$5</f>
        <v>50101.424117005459</v>
      </c>
      <c r="T52" s="13">
        <f>T37*'Constants and Trends'!AH33/'Constants and Trends'!$A$5</f>
        <v>47754.819077898363</v>
      </c>
      <c r="U52" s="13">
        <f>U37*'Constants and Trends'!AI33/'Constants and Trends'!$A$5</f>
        <v>45299.936438926146</v>
      </c>
      <c r="V52" s="13">
        <f>V37*'Constants and Trends'!AJ33/'Constants and Trends'!$A$5</f>
        <v>42736.8458113815</v>
      </c>
      <c r="W52" s="13">
        <f>W37*'Constants and Trends'!AK33/'Constants and Trends'!$A$5</f>
        <v>40065.514336079759</v>
      </c>
      <c r="X52" s="13">
        <f>X37*'Constants and Trends'!AL33/'Constants and Trends'!$A$5</f>
        <v>37286.325578038981</v>
      </c>
      <c r="Y52" s="13">
        <f>Y37*'Constants and Trends'!AM33/'Constants and Trends'!$A$5</f>
        <v>34400.022827971196</v>
      </c>
      <c r="Z52" s="13">
        <f>Z37*'Constants and Trends'!AN33/'Constants and Trends'!$A$5</f>
        <v>31407.713425977745</v>
      </c>
      <c r="AA52" s="13">
        <f>AA37*'Constants and Trends'!AO33/'Constants and Trends'!$A$5</f>
        <v>28310.852913373194</v>
      </c>
      <c r="AB52" s="13">
        <f>AB37*'Constants and Trends'!AP33/'Constants and Trends'!$A$5</f>
        <v>25111.063625205774</v>
      </c>
      <c r="AC52" s="13">
        <f>AC37*'Constants and Trends'!AQ33/'Constants and Trends'!$A$5</f>
        <v>21810.04876470313</v>
      </c>
      <c r="AD52" s="13">
        <f>AD37*'Constants and Trends'!AR33/'Constants and Trends'!$A$5</f>
        <v>18409.478291491083</v>
      </c>
      <c r="AE52" s="13">
        <f>AE37*'Constants and Trends'!AS33/'Constants and Trends'!$A$5</f>
        <v>14910.839498780351</v>
      </c>
      <c r="AF52" s="13">
        <f>AF37*'Constants and Trends'!AT33/'Constants and Trends'!$A$5</f>
        <v>11315.419568008941</v>
      </c>
      <c r="AG52" s="13">
        <f>AG37*'Constants and Trends'!AU33/'Constants and Trends'!$A$5</f>
        <v>7624.2358659342099</v>
      </c>
      <c r="AH52" s="13">
        <f>AH37*'Constants and Trends'!AV33/'Constants and Trends'!$A$5</f>
        <v>3838.1051306990644</v>
      </c>
      <c r="AI52" s="39">
        <f>AI37*'Constants and Trends'!AW33/'Constants and Trends'!$A$5</f>
        <v>0</v>
      </c>
    </row>
    <row r="53" spans="1:36" s="2" customFormat="1" ht="14.25" outlineLevel="2">
      <c r="A53" s="324"/>
      <c r="B53" s="319"/>
      <c r="C53" s="61" t="s">
        <v>19</v>
      </c>
      <c r="D53" s="13">
        <v>6374</v>
      </c>
      <c r="E53" s="13">
        <f>D53*(1+'Constants and Trends'!E24)</f>
        <v>6445.6803460227657</v>
      </c>
      <c r="F53" s="13">
        <f>E53*(1+'Constants and Trends'!F24)</f>
        <v>6519.1685103207874</v>
      </c>
      <c r="G53" s="13">
        <f>F53*(1+'Constants and Trends'!G24)</f>
        <v>6594.9782169805521</v>
      </c>
      <c r="H53" s="13">
        <f>G53*(1+'Constants and Trends'!H24)</f>
        <v>6670.9186137969709</v>
      </c>
      <c r="I53" s="13">
        <f>H53*(1+'Constants and Trends'!I24)</f>
        <v>6766.2284645666186</v>
      </c>
      <c r="J53" s="13">
        <f>I53*(1+'Constants and Trends'!J24)</f>
        <v>6868.4952271895327</v>
      </c>
      <c r="K53" s="13">
        <f>J53*(1+'Constants and Trends'!K24)</f>
        <v>6998.2482559479531</v>
      </c>
      <c r="L53" s="13">
        <f>K53*(1+'Constants and Trends'!L24)</f>
        <v>7133.0990395138333</v>
      </c>
      <c r="M53" s="13">
        <f>L53*(1+'Constants and Trends'!M24)</f>
        <v>7268.9927319549524</v>
      </c>
      <c r="N53" s="13">
        <f>M53*(1+'Constants and Trends'!N24)</f>
        <v>7405.7842157975374</v>
      </c>
      <c r="O53" s="13">
        <f>N53*(1+'Constants and Trends'!O24)</f>
        <v>7543.3013596214196</v>
      </c>
      <c r="P53" s="13">
        <f>O53*(1+'Constants and Trends'!P24)</f>
        <v>7681.4615064810378</v>
      </c>
      <c r="Q53" s="13">
        <f>P53*(1+'Constants and Trends'!Q24)</f>
        <v>7819.9681305128861</v>
      </c>
      <c r="R53" s="13">
        <f>Q53*(1+'Constants and Trends'!R24)</f>
        <v>7958.6099826451773</v>
      </c>
      <c r="S53" s="13">
        <f>R53*(1+'Constants and Trends'!S24)</f>
        <v>8094.6135997159754</v>
      </c>
      <c r="T53" s="13">
        <f>S53*(1+'Constants and Trends'!T24)</f>
        <v>8230.2221101908326</v>
      </c>
      <c r="U53" s="13">
        <f>T53*(1+'Constants and Trends'!U24)</f>
        <v>8365.223366848606</v>
      </c>
      <c r="V53" s="13">
        <f>U53*(1+'Constants and Trends'!V24)</f>
        <v>8499.4909618320835</v>
      </c>
      <c r="W53" s="13">
        <f>V53*(1+'Constants and Trends'!W24)</f>
        <v>8632.8342342334272</v>
      </c>
      <c r="X53" s="13">
        <f>W53*(1+'Constants and Trends'!X24)</f>
        <v>8765.0910147088634</v>
      </c>
      <c r="Y53" s="13">
        <f>X53*(1+'Constants and Trends'!Y24)</f>
        <v>8896.1272239802056</v>
      </c>
      <c r="Z53" s="13">
        <f>Y53*(1+'Constants and Trends'!Z24)</f>
        <v>9025.8537397253349</v>
      </c>
      <c r="AA53" s="13">
        <f>Z53*(1+'Constants and Trends'!AA24)</f>
        <v>9154.2494082261128</v>
      </c>
      <c r="AB53" s="13">
        <f>AA53*(1+'Constants and Trends'!AB24)</f>
        <v>9281.3426181415816</v>
      </c>
      <c r="AC53" s="13">
        <f>AB53*(1+'Constants and Trends'!AC24)</f>
        <v>9407.2155985193458</v>
      </c>
      <c r="AD53" s="13">
        <f>AC53*(1+'Constants and Trends'!AD24)</f>
        <v>9531.999291424203</v>
      </c>
      <c r="AE53" s="13">
        <f>AD53*(1+'Constants and Trends'!AE24)</f>
        <v>9655.8376462417782</v>
      </c>
      <c r="AF53" s="13">
        <f>AE53*(1+'Constants and Trends'!AF24)</f>
        <v>9778.8943005054989</v>
      </c>
      <c r="AG53" s="13">
        <f>AF53*(1+'Constants and Trends'!AG24)</f>
        <v>9901.311547194091</v>
      </c>
      <c r="AH53" s="13">
        <f>AG53*(1+'Constants and Trends'!AH24)</f>
        <v>10023.283126291064</v>
      </c>
      <c r="AI53" s="39">
        <f>AH53*(1+'Constants and Trends'!AI24)</f>
        <v>10144.994629578836</v>
      </c>
    </row>
    <row r="54" spans="1:36" s="2" customFormat="1" ht="14.25" outlineLevel="2">
      <c r="A54" s="324"/>
      <c r="B54" s="319"/>
      <c r="C54" s="61" t="s">
        <v>20</v>
      </c>
      <c r="D54" s="13">
        <f>117255+71848</f>
        <v>189103</v>
      </c>
      <c r="E54" s="13">
        <f>D54*(1+'Constants and Trends'!E24)</f>
        <v>191229.60314934785</v>
      </c>
      <c r="F54" s="13">
        <f>E54*(1+'Constants and Trends'!F24)</f>
        <v>193409.84041531096</v>
      </c>
      <c r="G54" s="13">
        <f>F54*(1+'Constants and Trends'!G24)</f>
        <v>195658.95289703069</v>
      </c>
      <c r="H54" s="13">
        <f>G54*(1+'Constants and Trends'!H24)</f>
        <v>197911.94267725898</v>
      </c>
      <c r="I54" s="13">
        <f>H54*(1+'Constants and Trends'!I24)</f>
        <v>200739.58288907143</v>
      </c>
      <c r="J54" s="13">
        <f>I54*(1+'Constants and Trends'!J24)</f>
        <v>203773.61985365895</v>
      </c>
      <c r="K54" s="13">
        <f>J54*(1+'Constants and Trends'!K24)</f>
        <v>207623.11577416467</v>
      </c>
      <c r="L54" s="13">
        <f>K54*(1+'Constants and Trends'!L24)</f>
        <v>211623.85121888676</v>
      </c>
      <c r="M54" s="13">
        <f>L54*(1+'Constants and Trends'!M24)</f>
        <v>215655.52754798828</v>
      </c>
      <c r="N54" s="13">
        <f>M54*(1+'Constants and Trends'!N24)</f>
        <v>219713.83943519951</v>
      </c>
      <c r="O54" s="13">
        <f>N54*(1+'Constants and Trends'!O24)</f>
        <v>223793.68010801525</v>
      </c>
      <c r="P54" s="13">
        <f>O54*(1+'Constants and Trends'!P24)</f>
        <v>227892.59731096384</v>
      </c>
      <c r="Q54" s="13">
        <f>P54*(1+'Constants and Trends'!Q24)</f>
        <v>232001.7937534324</v>
      </c>
      <c r="R54" s="13">
        <f>Q54*(1+'Constants and Trends'!R24)</f>
        <v>236115.00212553353</v>
      </c>
      <c r="S54" s="13">
        <f>R54*(1+'Constants and Trends'!S24)</f>
        <v>240149.93968419987</v>
      </c>
      <c r="T54" s="13">
        <f>S54*(1+'Constants and Trends'!T24)</f>
        <v>244173.15527195123</v>
      </c>
      <c r="U54" s="13">
        <f>T54*(1+'Constants and Trends'!U24)</f>
        <v>248178.35493272234</v>
      </c>
      <c r="V54" s="13">
        <f>U54*(1+'Constants and Trends'!V24)</f>
        <v>252161.78841470552</v>
      </c>
      <c r="W54" s="13">
        <f>V54*(1+'Constants and Trends'!W24)</f>
        <v>256117.79921497402</v>
      </c>
      <c r="X54" s="13">
        <f>W54*(1+'Constants and Trends'!X24)</f>
        <v>260041.57611460477</v>
      </c>
      <c r="Y54" s="13">
        <f>X54*(1+'Constants and Trends'!Y24)</f>
        <v>263929.14126707398</v>
      </c>
      <c r="Z54" s="13">
        <f>Y54*(1+'Constants and Trends'!Z24)</f>
        <v>267777.85060296219</v>
      </c>
      <c r="AA54" s="13">
        <f>Z54*(1+'Constants and Trends'!AA24)</f>
        <v>271587.07653652079</v>
      </c>
      <c r="AB54" s="13">
        <f>AA54*(1+'Constants and Trends'!AB24)</f>
        <v>275357.66129878076</v>
      </c>
      <c r="AC54" s="13">
        <f>AB54*(1+'Constants and Trends'!AC24)</f>
        <v>279092.04445039295</v>
      </c>
      <c r="AD54" s="13">
        <f>AC54*(1+'Constants and Trends'!AD24)</f>
        <v>282794.11076344398</v>
      </c>
      <c r="AE54" s="13">
        <f>AD54*(1+'Constants and Trends'!AE24)</f>
        <v>286468.13090951677</v>
      </c>
      <c r="AF54" s="13">
        <f>AE54*(1+'Constants and Trends'!AF24)</f>
        <v>290118.9596655934</v>
      </c>
      <c r="AG54" s="13">
        <f>AF54*(1+'Constants and Trends'!AG24)</f>
        <v>293750.81856119313</v>
      </c>
      <c r="AH54" s="13">
        <f>AG54*(1+'Constants and Trends'!AH24)</f>
        <v>297369.45544885786</v>
      </c>
      <c r="AI54" s="39">
        <f>AH54*(1+'Constants and Trends'!AI24)</f>
        <v>300980.37644136301</v>
      </c>
    </row>
    <row r="55" spans="1:36" s="2" customFormat="1" outlineLevel="2" thickBot="1">
      <c r="A55" s="324"/>
      <c r="B55" s="320"/>
      <c r="C55" s="62" t="s">
        <v>109</v>
      </c>
      <c r="D55" s="16">
        <v>114</v>
      </c>
      <c r="E55" s="172">
        <f>D55*(1+'Constants and Trends'!E24)</f>
        <v>115.28201434681445</v>
      </c>
      <c r="F55" s="172">
        <f>E55*(1+'Constants and Trends'!F24)</f>
        <v>116.59636180994191</v>
      </c>
      <c r="G55" s="172">
        <f>F55*(1+'Constants and Trends'!G24)</f>
        <v>117.95223042607199</v>
      </c>
      <c r="H55" s="172">
        <f>G55*(1+'Constants and Trends'!H24)</f>
        <v>119.31043645636251</v>
      </c>
      <c r="I55" s="172">
        <f>H55*(1+'Constants and Trends'!I24)</f>
        <v>121.01506823981714</v>
      </c>
      <c r="J55" s="172">
        <f>I55*(1+'Constants and Trends'!J24)</f>
        <v>122.84412549413345</v>
      </c>
      <c r="K55" s="172">
        <f>J55*(1+'Constants and Trends'!K24)</f>
        <v>125.16477897365336</v>
      </c>
      <c r="L55" s="172">
        <f>K55*(1+'Constants and Trends'!L24)</f>
        <v>127.57660660567569</v>
      </c>
      <c r="M55" s="172">
        <f>L55*(1+'Constants and Trends'!M24)</f>
        <v>130.00708682818708</v>
      </c>
      <c r="N55" s="172">
        <f>M55*(1+'Constants and Trends'!N24)</f>
        <v>132.45362419217435</v>
      </c>
      <c r="O55" s="172">
        <f>N55*(1+'Constants and Trends'!O24)</f>
        <v>134.91314009991243</v>
      </c>
      <c r="P55" s="172">
        <f>O55*(1+'Constants and Trends'!P24)</f>
        <v>137.38415621883249</v>
      </c>
      <c r="Q55" s="172">
        <f>P55*(1+'Constants and Trends'!Q24)</f>
        <v>139.86136913687935</v>
      </c>
      <c r="R55" s="172">
        <f>Q55*(1+'Constants and Trends'!R24)</f>
        <v>142.34100063093038</v>
      </c>
      <c r="S55" s="172">
        <f>R55*(1+'Constants and Trends'!S24)</f>
        <v>144.77344687286183</v>
      </c>
      <c r="T55" s="172">
        <f>S55*(1+'Constants and Trends'!T24)</f>
        <v>147.19882657071778</v>
      </c>
      <c r="U55" s="172">
        <f>T55*(1+'Constants and Trends'!U24)</f>
        <v>149.61334543783204</v>
      </c>
      <c r="V55" s="172">
        <f>U55*(1+'Constants and Trends'!V24)</f>
        <v>152.01474264964824</v>
      </c>
      <c r="W55" s="172">
        <f>V55*(1+'Constants and Trends'!W24)</f>
        <v>154.39960820561831</v>
      </c>
      <c r="X55" s="172">
        <f>W55*(1+'Constants and Trends'!X24)</f>
        <v>156.76504168133209</v>
      </c>
      <c r="Y55" s="172">
        <f>X55*(1+'Constants and Trends'!Y24)</f>
        <v>159.10864504765357</v>
      </c>
      <c r="Z55" s="172">
        <f>Y55*(1+'Constants and Trends'!Z24)</f>
        <v>161.42882433772962</v>
      </c>
      <c r="AA55" s="172">
        <f>Z55*(1+'Constants and Trends'!AA24)</f>
        <v>163.72520121395939</v>
      </c>
      <c r="AB55" s="172">
        <f>AA55*(1+'Constants and Trends'!AB24)</f>
        <v>165.99828341200825</v>
      </c>
      <c r="AC55" s="172">
        <f>AB55*(1+'Constants and Trends'!AC24)</f>
        <v>168.24954161142227</v>
      </c>
      <c r="AD55" s="172">
        <f>AC55*(1+'Constants and Trends'!AD24)</f>
        <v>170.481317731779</v>
      </c>
      <c r="AE55" s="172">
        <f>AD55*(1+'Constants and Trends'!AE24)</f>
        <v>172.69618633064997</v>
      </c>
      <c r="AF55" s="172">
        <f>AE55*(1+'Constants and Trends'!AF24)</f>
        <v>174.89707409124995</v>
      </c>
      <c r="AG55" s="172">
        <f>AF55*(1+'Constants and Trends'!AG24)</f>
        <v>177.08652594605061</v>
      </c>
      <c r="AH55" s="172">
        <f>AG55*(1+'Constants and Trends'!AH24)</f>
        <v>179.26800696535636</v>
      </c>
      <c r="AI55" s="173">
        <f>AH55*(1+'Constants and Trends'!AI24)</f>
        <v>181.44483648760394</v>
      </c>
    </row>
    <row r="56" spans="1:36" s="2" customFormat="1" ht="14.25" outlineLevel="2">
      <c r="A56" s="324"/>
      <c r="B56" s="315" t="s">
        <v>8</v>
      </c>
      <c r="C56" s="67" t="s">
        <v>21</v>
      </c>
      <c r="D56" s="17">
        <f>'On-Road'!D30</f>
        <v>231736.68927119946</v>
      </c>
      <c r="E56" s="17">
        <f>'On-Road'!E30</f>
        <v>228944.82410196614</v>
      </c>
      <c r="F56" s="17">
        <f>'On-Road'!F30</f>
        <v>225741.94149965281</v>
      </c>
      <c r="G56" s="17">
        <f>'On-Road'!G30</f>
        <v>222245.85293641602</v>
      </c>
      <c r="H56" s="17">
        <f>'On-Road'!H30</f>
        <v>218346.7924530936</v>
      </c>
      <c r="I56" s="17">
        <f>'On-Road'!I30</f>
        <v>214888.78235976238</v>
      </c>
      <c r="J56" s="17">
        <f>'On-Road'!J30</f>
        <v>211327.92442447535</v>
      </c>
      <c r="K56" s="17">
        <f>'On-Road'!K30</f>
        <v>208853.39393261133</v>
      </c>
      <c r="L56" s="17">
        <f>'On-Road'!L30</f>
        <v>206710.57930006762</v>
      </c>
      <c r="M56" s="17">
        <f>'On-Road'!M30</f>
        <v>204865.75537009138</v>
      </c>
      <c r="N56" s="17">
        <f>'On-Road'!N30</f>
        <v>203344.68341816682</v>
      </c>
      <c r="O56" s="17">
        <f>'On-Road'!O30</f>
        <v>202118.35452882916</v>
      </c>
      <c r="P56" s="17">
        <f>'On-Road'!P30</f>
        <v>201187.20787322137</v>
      </c>
      <c r="Q56" s="17">
        <f>'On-Road'!Q30</f>
        <v>200536.94344763222</v>
      </c>
      <c r="R56" s="17">
        <f>'On-Road'!R30</f>
        <v>200146.91847182898</v>
      </c>
      <c r="S56" s="17">
        <f>'On-Road'!S30</f>
        <v>199930.32999607304</v>
      </c>
      <c r="T56" s="17">
        <f>'On-Road'!T30</f>
        <v>199968.38919581717</v>
      </c>
      <c r="U56" s="17">
        <f>'On-Road'!U30</f>
        <v>200239.05095934554</v>
      </c>
      <c r="V56" s="17">
        <f>'On-Road'!V30</f>
        <v>200740.81664191582</v>
      </c>
      <c r="W56" s="17">
        <f>'On-Road'!W30</f>
        <v>201441.9070457583</v>
      </c>
      <c r="X56" s="17">
        <f>'On-Road'!X30</f>
        <v>202333.38132599686</v>
      </c>
      <c r="Y56" s="17">
        <f>'On-Road'!Y30</f>
        <v>203383.06056913541</v>
      </c>
      <c r="Z56" s="17">
        <f>'On-Road'!Z30</f>
        <v>203608.95848120947</v>
      </c>
      <c r="AA56" s="17">
        <f>'On-Road'!AA30</f>
        <v>203798.94692530733</v>
      </c>
      <c r="AB56" s="17">
        <f>'On-Road'!AB30</f>
        <v>203920.46399175058</v>
      </c>
      <c r="AC56" s="17">
        <f>'On-Road'!AC30</f>
        <v>203977.43744025976</v>
      </c>
      <c r="AD56" s="17">
        <f>'On-Road'!AD30</f>
        <v>203974.69463617544</v>
      </c>
      <c r="AE56" s="17">
        <f>'On-Road'!AE30</f>
        <v>203917.14425464947</v>
      </c>
      <c r="AF56" s="17">
        <f>'On-Road'!AF30</f>
        <v>203809.90327541874</v>
      </c>
      <c r="AG56" s="17">
        <f>'On-Road'!AG30</f>
        <v>203657.43219137349</v>
      </c>
      <c r="AH56" s="17">
        <f>'On-Road'!AH30</f>
        <v>203465.04801950898</v>
      </c>
      <c r="AI56" s="41">
        <f>'On-Road'!AI30</f>
        <v>203237.66771485118</v>
      </c>
    </row>
    <row r="57" spans="1:36" s="2" customFormat="1" ht="14.25" outlineLevel="2">
      <c r="A57" s="324"/>
      <c r="B57" s="316"/>
      <c r="C57" s="68" t="s">
        <v>22</v>
      </c>
      <c r="D57" s="18">
        <f>'On-Road'!D29</f>
        <v>36931.699773149383</v>
      </c>
      <c r="E57" s="18">
        <f>'On-Road'!E29</f>
        <v>35941.667590054181</v>
      </c>
      <c r="F57" s="18">
        <f>'On-Road'!F29</f>
        <v>34878.280652087662</v>
      </c>
      <c r="G57" s="18">
        <f>'On-Road'!G29</f>
        <v>33760.450099784175</v>
      </c>
      <c r="H57" s="18">
        <f>'On-Road'!H29</f>
        <v>32575.401912095207</v>
      </c>
      <c r="I57" s="18">
        <f>'On-Road'!I29</f>
        <v>31451.223255714005</v>
      </c>
      <c r="J57" s="18">
        <f>'On-Road'!J29</f>
        <v>30309.916465442733</v>
      </c>
      <c r="K57" s="18">
        <f>'On-Road'!K29</f>
        <v>29321.112690173075</v>
      </c>
      <c r="L57" s="18">
        <f>'On-Road'!L29</f>
        <v>28376.559197252274</v>
      </c>
      <c r="M57" s="18">
        <f>'On-Road'!M29</f>
        <v>27473.801814171562</v>
      </c>
      <c r="N57" s="18">
        <f>'On-Road'!N29</f>
        <v>26618.864592259972</v>
      </c>
      <c r="O57" s="18">
        <f>'On-Road'!O29</f>
        <v>25810.203721067825</v>
      </c>
      <c r="P57" s="18">
        <f>'On-Road'!P29</f>
        <v>25049.55864301727</v>
      </c>
      <c r="Q57" s="18">
        <f>'On-Road'!Q29</f>
        <v>24336.011238913768</v>
      </c>
      <c r="R57" s="18">
        <f>'On-Road'!R29</f>
        <v>23667.083961200045</v>
      </c>
      <c r="S57" s="18">
        <f>'On-Road'!S29</f>
        <v>23031.922327926488</v>
      </c>
      <c r="T57" s="18">
        <f>'On-Road'!T29</f>
        <v>22438.672375380807</v>
      </c>
      <c r="U57" s="18">
        <f>'On-Road'!U29</f>
        <v>21882.440352455218</v>
      </c>
      <c r="V57" s="18">
        <f>'On-Road'!V29</f>
        <v>21360.202193062127</v>
      </c>
      <c r="W57" s="18">
        <f>'On-Road'!W29</f>
        <v>20865.384563090262</v>
      </c>
      <c r="X57" s="18">
        <f>'On-Road'!X29</f>
        <v>20393.891392154092</v>
      </c>
      <c r="Y57" s="18">
        <f>'On-Road'!Y29</f>
        <v>19939.359822330054</v>
      </c>
      <c r="Z57" s="18">
        <f>'On-Road'!Z29</f>
        <v>19375.8724927572</v>
      </c>
      <c r="AA57" s="18">
        <f>'On-Road'!AA29</f>
        <v>18848.599820364761</v>
      </c>
      <c r="AB57" s="18">
        <f>'On-Road'!AB29</f>
        <v>18312.740643708927</v>
      </c>
      <c r="AC57" s="18">
        <f>'On-Road'!AC29</f>
        <v>17769.183330970747</v>
      </c>
      <c r="AD57" s="18">
        <f>'On-Road'!AD29</f>
        <v>17218.852731513423</v>
      </c>
      <c r="AE57" s="18">
        <f>'On-Road'!AE29</f>
        <v>16662.630882724668</v>
      </c>
      <c r="AF57" s="18">
        <f>'On-Road'!AF29</f>
        <v>16101.365610688594</v>
      </c>
      <c r="AG57" s="18">
        <f>'On-Road'!AG29</f>
        <v>15535.801392695123</v>
      </c>
      <c r="AH57" s="18">
        <f>'On-Road'!AH29</f>
        <v>14966.699244416555</v>
      </c>
      <c r="AI57" s="42">
        <f>'On-Road'!AI29</f>
        <v>14394.735711712752</v>
      </c>
    </row>
    <row r="58" spans="1:36" s="2" customFormat="1" ht="14.25" outlineLevel="2">
      <c r="A58" s="324"/>
      <c r="B58" s="316"/>
      <c r="C58" s="68" t="s">
        <v>23</v>
      </c>
      <c r="D58" s="18">
        <f>'On-Road'!D31</f>
        <v>2028.6630420420004</v>
      </c>
      <c r="E58" s="18">
        <f>'On-Road'!E31</f>
        <v>1210.8325209207396</v>
      </c>
      <c r="F58" s="18">
        <f>'On-Road'!F31</f>
        <v>1208.4691777835751</v>
      </c>
      <c r="G58" s="18">
        <f>'On-Road'!G31</f>
        <v>1206.0571670815311</v>
      </c>
      <c r="H58" s="18">
        <f>'On-Road'!H31</f>
        <v>1203.1894970731307</v>
      </c>
      <c r="I58" s="18">
        <f>'On-Road'!I31</f>
        <v>1203.297475573524</v>
      </c>
      <c r="J58" s="18">
        <f>'On-Road'!J31</f>
        <v>1204.0733182671343</v>
      </c>
      <c r="K58" s="18">
        <f>'On-Road'!K31</f>
        <v>1209.0291502639279</v>
      </c>
      <c r="L58" s="18">
        <f>'On-Road'!L31</f>
        <v>1214.1648248010504</v>
      </c>
      <c r="M58" s="18">
        <f>'On-Road'!M31</f>
        <v>1218.7829366545297</v>
      </c>
      <c r="N58" s="18">
        <f>'On-Road'!N31</f>
        <v>1222.8726062527483</v>
      </c>
      <c r="O58" s="18">
        <f>'On-Road'!O31</f>
        <v>1226.4182940243386</v>
      </c>
      <c r="P58" s="18">
        <f>'On-Road'!P31</f>
        <v>1229.4176441229779</v>
      </c>
      <c r="Q58" s="18">
        <f>'On-Road'!Q31</f>
        <v>1231.8317838171413</v>
      </c>
      <c r="R58" s="18">
        <f>'On-Road'!R31</f>
        <v>1233.6340093333495</v>
      </c>
      <c r="S58" s="18">
        <f>'On-Road'!S31</f>
        <v>1234.404983740751</v>
      </c>
      <c r="T58" s="18">
        <f>'On-Road'!T31</f>
        <v>1234.5019197725674</v>
      </c>
      <c r="U58" s="18">
        <f>'On-Road'!U31</f>
        <v>1233.8943301833501</v>
      </c>
      <c r="V58" s="18">
        <f>'On-Road'!V31</f>
        <v>1232.5639850916766</v>
      </c>
      <c r="W58" s="18">
        <f>'On-Road'!W31</f>
        <v>1230.4832701281489</v>
      </c>
      <c r="X58" s="18">
        <f>'On-Road'!X31</f>
        <v>1227.6297269579852</v>
      </c>
      <c r="Y58" s="18">
        <f>'On-Road'!Y31</f>
        <v>1223.9862804664763</v>
      </c>
      <c r="Z58" s="18">
        <f>'On-Road'!Z31</f>
        <v>1219.4319983871708</v>
      </c>
      <c r="AA58" s="18">
        <f>'On-Road'!AA31</f>
        <v>1214.2314507671485</v>
      </c>
      <c r="AB58" s="18">
        <f>'On-Road'!AB31</f>
        <v>1208.2288618837881</v>
      </c>
      <c r="AC58" s="18">
        <f>'On-Road'!AC31</f>
        <v>1201.4443576914437</v>
      </c>
      <c r="AD58" s="18">
        <f>'On-Road'!AD31</f>
        <v>1193.9033554178518</v>
      </c>
      <c r="AE58" s="18">
        <f>'On-Road'!AE31</f>
        <v>1185.6315793813399</v>
      </c>
      <c r="AF58" s="18">
        <f>'On-Road'!AF31</f>
        <v>1176.6557046800303</v>
      </c>
      <c r="AG58" s="18">
        <f>'On-Road'!AG31</f>
        <v>1166.9982784901354</v>
      </c>
      <c r="AH58" s="18">
        <f>'On-Road'!AH31</f>
        <v>1156.6863830717252</v>
      </c>
      <c r="AI58" s="42">
        <f>'On-Road'!AI31</f>
        <v>1145.7442716884411</v>
      </c>
    </row>
    <row r="59" spans="1:36" s="2" customFormat="1" ht="14.25" outlineLevel="2">
      <c r="A59" s="324"/>
      <c r="B59" s="316"/>
      <c r="C59" s="61" t="s">
        <v>24</v>
      </c>
      <c r="D59" s="13">
        <f>SUM(D56:D58)</f>
        <v>270697.05208639085</v>
      </c>
      <c r="E59" s="13">
        <f t="shared" ref="E59:AI59" si="0">SUM(E56:E58)</f>
        <v>266097.32421294105</v>
      </c>
      <c r="F59" s="13">
        <f t="shared" si="0"/>
        <v>261828.69132952404</v>
      </c>
      <c r="G59" s="13">
        <f t="shared" si="0"/>
        <v>257212.36020328174</v>
      </c>
      <c r="H59" s="13">
        <f t="shared" si="0"/>
        <v>252125.38386226192</v>
      </c>
      <c r="I59" s="13">
        <f t="shared" si="0"/>
        <v>247543.30309104989</v>
      </c>
      <c r="J59" s="13">
        <f t="shared" si="0"/>
        <v>242841.91420818522</v>
      </c>
      <c r="K59" s="13">
        <f t="shared" si="0"/>
        <v>239383.53577304835</v>
      </c>
      <c r="L59" s="13">
        <f t="shared" si="0"/>
        <v>236301.30332212095</v>
      </c>
      <c r="M59" s="13">
        <f t="shared" si="0"/>
        <v>233558.34012091748</v>
      </c>
      <c r="N59" s="13">
        <f t="shared" si="0"/>
        <v>231186.42061667956</v>
      </c>
      <c r="O59" s="13">
        <f t="shared" si="0"/>
        <v>229154.97654392131</v>
      </c>
      <c r="P59" s="13">
        <f t="shared" si="0"/>
        <v>227466.18416036159</v>
      </c>
      <c r="Q59" s="13">
        <f t="shared" si="0"/>
        <v>226104.78647036315</v>
      </c>
      <c r="R59" s="13">
        <f t="shared" si="0"/>
        <v>225047.63644236239</v>
      </c>
      <c r="S59" s="13">
        <f t="shared" si="0"/>
        <v>224196.6573077403</v>
      </c>
      <c r="T59" s="13">
        <f t="shared" si="0"/>
        <v>223641.56349097055</v>
      </c>
      <c r="U59" s="13">
        <f t="shared" si="0"/>
        <v>223355.38564198412</v>
      </c>
      <c r="V59" s="13">
        <f t="shared" si="0"/>
        <v>223333.5828200696</v>
      </c>
      <c r="W59" s="13">
        <f t="shared" si="0"/>
        <v>223537.77487897669</v>
      </c>
      <c r="X59" s="13">
        <f t="shared" si="0"/>
        <v>223954.90244510895</v>
      </c>
      <c r="Y59" s="13">
        <f t="shared" si="0"/>
        <v>224546.40667193197</v>
      </c>
      <c r="Z59" s="13">
        <f t="shared" si="0"/>
        <v>224204.26297235384</v>
      </c>
      <c r="AA59" s="13">
        <f t="shared" si="0"/>
        <v>223861.77819643923</v>
      </c>
      <c r="AB59" s="13">
        <f t="shared" si="0"/>
        <v>223441.4334973433</v>
      </c>
      <c r="AC59" s="13">
        <f t="shared" si="0"/>
        <v>222948.06512892197</v>
      </c>
      <c r="AD59" s="13">
        <f t="shared" si="0"/>
        <v>222387.45072310671</v>
      </c>
      <c r="AE59" s="13">
        <f t="shared" si="0"/>
        <v>221765.40671675545</v>
      </c>
      <c r="AF59" s="13">
        <f t="shared" si="0"/>
        <v>221087.92459078738</v>
      </c>
      <c r="AG59" s="13">
        <f t="shared" si="0"/>
        <v>220360.23186255872</v>
      </c>
      <c r="AH59" s="13">
        <f t="shared" si="0"/>
        <v>219588.43364699726</v>
      </c>
      <c r="AI59" s="39">
        <f t="shared" si="0"/>
        <v>218778.14769825237</v>
      </c>
    </row>
    <row r="60" spans="1:36" s="2" customFormat="1" outlineLevel="2" thickBot="1">
      <c r="A60" s="324"/>
      <c r="B60" s="317"/>
      <c r="C60" s="69" t="s">
        <v>25</v>
      </c>
      <c r="D60" s="172">
        <f>'On-Road'!D28</f>
        <v>2186.1885631079704</v>
      </c>
      <c r="E60" s="172">
        <f>'On-Road'!E28</f>
        <v>1421.7123089348067</v>
      </c>
      <c r="F60" s="172">
        <f>'On-Road'!F28</f>
        <v>1777.4817309878836</v>
      </c>
      <c r="G60" s="172">
        <f>'On-Road'!G28</f>
        <v>1999.4887717095842</v>
      </c>
      <c r="H60" s="172">
        <f>'On-Road'!H28</f>
        <v>2162.352663832532</v>
      </c>
      <c r="I60" s="172">
        <f>'On-Road'!I28</f>
        <v>2273.3264764694868</v>
      </c>
      <c r="J60" s="172">
        <f>'On-Road'!J28</f>
        <v>2329.2978171047844</v>
      </c>
      <c r="K60" s="172">
        <f>'On-Road'!K28</f>
        <v>2337.5855790919759</v>
      </c>
      <c r="L60" s="172">
        <f>'On-Road'!L28</f>
        <v>2290.5080235641585</v>
      </c>
      <c r="M60" s="172">
        <f>'On-Road'!M28</f>
        <v>2186.6790276127863</v>
      </c>
      <c r="N60" s="172">
        <f>'On-Road'!N28</f>
        <v>2026.2393315109243</v>
      </c>
      <c r="O60" s="172">
        <f>'On-Road'!O28</f>
        <v>1809.5387985015834</v>
      </c>
      <c r="P60" s="172">
        <f>'On-Road'!P28</f>
        <v>1865.6663097602907</v>
      </c>
      <c r="Q60" s="172">
        <f>'On-Road'!Q28</f>
        <v>1908.5127703755302</v>
      </c>
      <c r="R60" s="172">
        <f>'On-Road'!R28</f>
        <v>1937.5868651301878</v>
      </c>
      <c r="S60" s="172">
        <f>'On-Road'!S28</f>
        <v>1951.7995700716244</v>
      </c>
      <c r="T60" s="172">
        <f>'On-Road'!T28</f>
        <v>1951.3163946980699</v>
      </c>
      <c r="U60" s="172">
        <f>'On-Road'!U28</f>
        <v>1935.7316973819427</v>
      </c>
      <c r="V60" s="172">
        <f>'On-Road'!V28</f>
        <v>1904.6904859205706</v>
      </c>
      <c r="W60" s="172">
        <f>'On-Road'!W28</f>
        <v>1857.8555226442459</v>
      </c>
      <c r="X60" s="172">
        <f>'On-Road'!X28</f>
        <v>1794.9313737846846</v>
      </c>
      <c r="Y60" s="172">
        <f>'On-Road'!Y28</f>
        <v>1715.6652049364668</v>
      </c>
      <c r="Z60" s="172">
        <f>'On-Road'!Z28</f>
        <v>1623.1409181930139</v>
      </c>
      <c r="AA60" s="172">
        <f>'On-Road'!AA28</f>
        <v>1513.7620505314537</v>
      </c>
      <c r="AB60" s="172">
        <f>'On-Road'!AB28</f>
        <v>1387.2065378812888</v>
      </c>
      <c r="AC60" s="172">
        <f>'On-Road'!AC28</f>
        <v>1243.1784337264257</v>
      </c>
      <c r="AD60" s="172">
        <f>'On-Road'!AD28</f>
        <v>1081.4016487852632</v>
      </c>
      <c r="AE60" s="172">
        <f>'On-Road'!AE28</f>
        <v>901.61035481272302</v>
      </c>
      <c r="AF60" s="172">
        <f>'On-Road'!AF28</f>
        <v>703.54606997788812</v>
      </c>
      <c r="AG60" s="172">
        <f>'On-Road'!AG28</f>
        <v>486.95127353342298</v>
      </c>
      <c r="AH60" s="172">
        <f>'On-Road'!AH28</f>
        <v>251.57147110985991</v>
      </c>
      <c r="AI60" s="173">
        <f>'On-Road'!AI28</f>
        <v>0</v>
      </c>
    </row>
    <row r="61" spans="1:36" s="2" customFormat="1" ht="15.75" outlineLevel="2" thickBot="1">
      <c r="A61" s="324"/>
      <c r="B61" s="52" t="s">
        <v>16</v>
      </c>
      <c r="C61" s="56" t="s">
        <v>26</v>
      </c>
      <c r="D61" s="19">
        <v>2114</v>
      </c>
      <c r="E61" s="19">
        <f>D61*(1+'Constants and Trends'!E24)</f>
        <v>2137.773494115489</v>
      </c>
      <c r="F61" s="19">
        <f>E61*(1+'Constants and Trends'!F24)</f>
        <v>2162.1465690019054</v>
      </c>
      <c r="G61" s="19">
        <f>F61*(1+'Constants and Trends'!G24)</f>
        <v>2187.2896063220719</v>
      </c>
      <c r="H61" s="19">
        <f>G61*(1+'Constants and Trends'!H24)</f>
        <v>2212.4759883223714</v>
      </c>
      <c r="I61" s="19">
        <f>H61*(1+'Constants and Trends'!I24)</f>
        <v>2244.0864408681882</v>
      </c>
      <c r="J61" s="19">
        <f>I61*(1+'Constants and Trends'!J24)</f>
        <v>2278.0042218824397</v>
      </c>
      <c r="K61" s="19">
        <f>J61*(1+'Constants and Trends'!K24)</f>
        <v>2321.0380943009054</v>
      </c>
      <c r="L61" s="19">
        <f>K61*(1+'Constants and Trends'!L24)</f>
        <v>2365.7626874070038</v>
      </c>
      <c r="M61" s="19">
        <f>L61*(1+'Constants and Trends'!M24)</f>
        <v>2410.8331715332238</v>
      </c>
      <c r="N61" s="19">
        <f>M61*(1+'Constants and Trends'!N24)</f>
        <v>2456.2014170373382</v>
      </c>
      <c r="O61" s="19">
        <f>N61*(1+'Constants and Trends'!O24)</f>
        <v>2501.8103348352183</v>
      </c>
      <c r="P61" s="19">
        <f>O61*(1+'Constants and Trends'!P24)</f>
        <v>2547.6325109351924</v>
      </c>
      <c r="Q61" s="19">
        <f>P61*(1+'Constants and Trends'!Q24)</f>
        <v>2593.5695996084473</v>
      </c>
      <c r="R61" s="19">
        <f>Q61*(1+'Constants and Trends'!R24)</f>
        <v>2639.5515380156744</v>
      </c>
      <c r="S61" s="19">
        <f>R61*(1+'Constants and Trends'!S24)</f>
        <v>2684.658479730087</v>
      </c>
      <c r="T61" s="19">
        <f>S61*(1+'Constants and Trends'!T24)</f>
        <v>2729.6343804429598</v>
      </c>
      <c r="U61" s="19">
        <f>T61*(1+'Constants and Trends'!U24)</f>
        <v>2774.4088794348854</v>
      </c>
      <c r="V61" s="19">
        <f>U61*(1+'Constants and Trends'!V24)</f>
        <v>2818.9400522925998</v>
      </c>
      <c r="W61" s="19">
        <f>V61*(1+'Constants and Trends'!W24)</f>
        <v>2863.1646644445359</v>
      </c>
      <c r="X61" s="19">
        <f>W61*(1+'Constants and Trends'!X24)</f>
        <v>2907.0289308275092</v>
      </c>
      <c r="Y61" s="19">
        <f>X61*(1+'Constants and Trends'!Y24)</f>
        <v>2950.4883827257863</v>
      </c>
      <c r="Z61" s="19">
        <f>Y61*(1+'Constants and Trends'!Z24)</f>
        <v>2993.5134618417583</v>
      </c>
      <c r="AA61" s="19">
        <f>Z61*(1+'Constants and Trends'!AA24)</f>
        <v>3036.0971523360545</v>
      </c>
      <c r="AB61" s="19">
        <f>AA61*(1+'Constants and Trends'!AB24)</f>
        <v>3078.2488695875923</v>
      </c>
      <c r="AC61" s="19">
        <f>AB61*(1+'Constants and Trends'!AC24)</f>
        <v>3119.9958856714629</v>
      </c>
      <c r="AD61" s="19">
        <f>AC61*(1+'Constants and Trends'!AD24)</f>
        <v>3161.3816288156218</v>
      </c>
      <c r="AE61" s="19">
        <f>AD61*(1+'Constants and Trends'!AE24)</f>
        <v>3202.4538412543343</v>
      </c>
      <c r="AF61" s="19">
        <f>AE61*(1+'Constants and Trends'!AF24)</f>
        <v>3243.2667949903725</v>
      </c>
      <c r="AG61" s="19">
        <f>AF61*(1+'Constants and Trends'!AG24)</f>
        <v>3283.8676828943076</v>
      </c>
      <c r="AH61" s="19">
        <f>AG61*(1+'Constants and Trends'!AH24)</f>
        <v>3324.3207607435388</v>
      </c>
      <c r="AI61" s="43">
        <f>AH61*(1+'Constants and Trends'!AI24)</f>
        <v>3364.687581884165</v>
      </c>
    </row>
    <row r="62" spans="1:36" s="2" customFormat="1" ht="15.75" outlineLevel="2" thickBot="1">
      <c r="A62" s="324"/>
      <c r="B62" s="58" t="s">
        <v>105</v>
      </c>
      <c r="C62" s="57" t="s">
        <v>110</v>
      </c>
      <c r="D62" s="16">
        <v>405</v>
      </c>
      <c r="E62" s="16">
        <f>D62*(1+'Constants and Trends'!E24)</f>
        <v>409.55452465315659</v>
      </c>
      <c r="F62" s="16">
        <f>E62*(1+'Constants and Trends'!F24)</f>
        <v>414.22391695637259</v>
      </c>
      <c r="G62" s="16">
        <f>F62*(1+'Constants and Trends'!G24)</f>
        <v>419.04081861894002</v>
      </c>
      <c r="H62" s="16">
        <f>G62*(1+'Constants and Trends'!H24)</f>
        <v>423.86602425286685</v>
      </c>
      <c r="I62" s="16">
        <f>H62*(1+'Constants and Trends'!I24)</f>
        <v>429.92195295724514</v>
      </c>
      <c r="J62" s="16">
        <f>I62*(1+'Constants and Trends'!J24)</f>
        <v>436.41991951863201</v>
      </c>
      <c r="K62" s="16">
        <f>J62*(1+'Constants and Trends'!K24)</f>
        <v>444.66434635376851</v>
      </c>
      <c r="L62" s="16">
        <f>K62*(1+'Constants and Trends'!L24)</f>
        <v>453.23268136226892</v>
      </c>
      <c r="M62" s="16">
        <f>L62*(1+'Constants and Trends'!M24)</f>
        <v>461.86728215276992</v>
      </c>
      <c r="N62" s="16">
        <f>M62*(1+'Constants and Trends'!N24)</f>
        <v>470.55892805114564</v>
      </c>
      <c r="O62" s="16">
        <f>N62*(1+'Constants and Trends'!O24)</f>
        <v>479.29668193389938</v>
      </c>
      <c r="P62" s="16">
        <f>O62*(1+'Constants and Trends'!P24)</f>
        <v>488.07529183006278</v>
      </c>
      <c r="Q62" s="16">
        <f>P62*(1+'Constants and Trends'!Q24)</f>
        <v>496.87591667049242</v>
      </c>
      <c r="R62" s="16">
        <f>Q62*(1+'Constants and Trends'!R24)</f>
        <v>505.6851338204105</v>
      </c>
      <c r="S62" s="16">
        <f>R62*(1+'Constants and Trends'!S24)</f>
        <v>514.32671915358799</v>
      </c>
      <c r="T62" s="16">
        <f>S62*(1+'Constants and Trends'!T24)</f>
        <v>522.94319965912882</v>
      </c>
      <c r="U62" s="16">
        <f>T62*(1+'Constants and Trends'!U24)</f>
        <v>531.5210956344032</v>
      </c>
      <c r="V62" s="16">
        <f>U62*(1+'Constants and Trends'!V24)</f>
        <v>540.05237520269759</v>
      </c>
      <c r="W62" s="16">
        <f>V62*(1+'Constants and Trends'!W24)</f>
        <v>548.52492388838073</v>
      </c>
      <c r="X62" s="16">
        <f>W62*(1+'Constants and Trends'!X24)</f>
        <v>556.92843755210083</v>
      </c>
      <c r="Y62" s="16">
        <f>X62*(1+'Constants and Trends'!Y24)</f>
        <v>565.25439687982191</v>
      </c>
      <c r="Z62" s="16">
        <f>Y62*(1+'Constants and Trends'!Z24)</f>
        <v>573.4971390945658</v>
      </c>
      <c r="AA62" s="16">
        <f>Z62*(1+'Constants and Trends'!AA24)</f>
        <v>581.65532010222421</v>
      </c>
      <c r="AB62" s="16">
        <f>AA62*(1+'Constants and Trends'!AB24)</f>
        <v>589.73074370055565</v>
      </c>
      <c r="AC62" s="16">
        <f>AB62*(1+'Constants and Trends'!AC24)</f>
        <v>597.72863467215814</v>
      </c>
      <c r="AD62" s="16">
        <f>AC62*(1+'Constants and Trends'!AD24)</f>
        <v>605.65731299447805</v>
      </c>
      <c r="AE62" s="16">
        <f>AD62*(1+'Constants and Trends'!AE24)</f>
        <v>613.52592512204592</v>
      </c>
      <c r="AF62" s="16">
        <f>AE62*(1+'Constants and Trends'!AF24)</f>
        <v>621.34486848207212</v>
      </c>
      <c r="AG62" s="16">
        <f>AF62*(1+'Constants and Trends'!AG24)</f>
        <v>629.12318428202184</v>
      </c>
      <c r="AH62" s="16">
        <f>AG62*(1+'Constants and Trends'!AH24)</f>
        <v>636.87318264008172</v>
      </c>
      <c r="AI62" s="40">
        <f>AH62*(1+'Constants and Trends'!AI24)</f>
        <v>644.6066559428034</v>
      </c>
    </row>
    <row r="63" spans="1:36" s="2" customFormat="1" ht="14.25" outlineLevel="2">
      <c r="A63" s="324"/>
      <c r="B63" s="326" t="s">
        <v>17</v>
      </c>
      <c r="C63" s="55" t="s">
        <v>225</v>
      </c>
      <c r="D63" s="14">
        <v>66758</v>
      </c>
      <c r="E63" s="14">
        <f>E49*'Constants and Trends'!$D$43</f>
        <v>67329.72949114861</v>
      </c>
      <c r="F63" s="14">
        <f>F49*'Constants and Trends'!$D$43</f>
        <v>67965.852421083895</v>
      </c>
      <c r="G63" s="14">
        <f>G49*'Constants and Trends'!$D$43</f>
        <v>68622.725334146468</v>
      </c>
      <c r="H63" s="14">
        <f>H49*'Constants and Trends'!$D$43</f>
        <v>69303.200092881365</v>
      </c>
      <c r="I63" s="14">
        <f>I49*'Constants and Trends'!$D$43</f>
        <v>70039.21737134525</v>
      </c>
      <c r="J63" s="14">
        <f>J49*'Constants and Trends'!$D$43</f>
        <v>70835.310882650228</v>
      </c>
      <c r="K63" s="14">
        <f>K49*'Constants and Trends'!$D$43</f>
        <v>71708.638407804756</v>
      </c>
      <c r="L63" s="14">
        <f>L49*'Constants and Trends'!$D$43</f>
        <v>72616.268809287751</v>
      </c>
      <c r="M63" s="14">
        <f>M49*'Constants and Trends'!$D$43</f>
        <v>73507.924953788664</v>
      </c>
      <c r="N63" s="14">
        <f>N49*'Constants and Trends'!$D$43</f>
        <v>74375.363370859472</v>
      </c>
      <c r="O63" s="14">
        <f>O49*'Constants and Trends'!$D$43</f>
        <v>75220.800487585628</v>
      </c>
      <c r="P63" s="14">
        <f>P49*'Constants and Trends'!$D$43</f>
        <v>76045.787953226027</v>
      </c>
      <c r="Q63" s="14">
        <f>Q49*'Constants and Trends'!$D$43</f>
        <v>76844.729725113386</v>
      </c>
      <c r="R63" s="14">
        <f>R49*'Constants and Trends'!$D$43</f>
        <v>77616.800582532145</v>
      </c>
      <c r="S63" s="14">
        <f>S49*'Constants and Trends'!$D$43</f>
        <v>78357.163662122199</v>
      </c>
      <c r="T63" s="14">
        <f>T49*'Constants and Trends'!$D$43</f>
        <v>79075.00577357148</v>
      </c>
      <c r="U63" s="14">
        <f>U49*'Constants and Trends'!$D$43</f>
        <v>79769.082104279267</v>
      </c>
      <c r="V63" s="14">
        <f>V49*'Constants and Trends'!$D$43</f>
        <v>80437.961438405953</v>
      </c>
      <c r="W63" s="14">
        <f>W49*'Constants and Trends'!$D$43</f>
        <v>81082.193225979936</v>
      </c>
      <c r="X63" s="14">
        <f>X49*'Constants and Trends'!$D$44</f>
        <v>17522.107803711493</v>
      </c>
      <c r="Y63" s="14">
        <f>Y49*'Constants and Trends'!$D$44</f>
        <v>17784.059514331402</v>
      </c>
      <c r="Z63" s="14">
        <f>Z49*'Constants and Trends'!$D$44</f>
        <v>18043.393044362245</v>
      </c>
      <c r="AA63" s="14">
        <f>AA49*'Constants and Trends'!$D$44</f>
        <v>18300.066105854115</v>
      </c>
      <c r="AB63" s="14">
        <f>AB49*'Constants and Trends'!$D$44</f>
        <v>18554.135449974048</v>
      </c>
      <c r="AC63" s="14">
        <f>AC49*'Constants and Trends'!$D$44</f>
        <v>18805.765459069495</v>
      </c>
      <c r="AD63" s="14">
        <f>AD49*'Constants and Trends'!$D$44</f>
        <v>19055.217896648861</v>
      </c>
      <c r="AE63" s="14">
        <f>AE49*'Constants and Trends'!$D$44</f>
        <v>19302.780528880114</v>
      </c>
      <c r="AF63" s="14">
        <f>AF49*'Constants and Trends'!$D$44</f>
        <v>19548.7804800905</v>
      </c>
      <c r="AG63" s="14">
        <f>AG49*'Constants and Trends'!$D$44</f>
        <v>19793.502205160035</v>
      </c>
      <c r="AH63" s="14">
        <f>AH49*'Constants and Trends'!$D$44</f>
        <v>20037.333005586363</v>
      </c>
      <c r="AI63" s="38">
        <f>AI49*'Constants and Trends'!$D$44</f>
        <v>20280.643893970901</v>
      </c>
    </row>
    <row r="64" spans="1:36" s="2" customFormat="1" outlineLevel="2" thickBot="1">
      <c r="A64" s="324"/>
      <c r="B64" s="327"/>
      <c r="C64" s="227" t="s">
        <v>226</v>
      </c>
      <c r="D64" s="16">
        <v>799</v>
      </c>
      <c r="E64" s="16">
        <f>E50*'Constants and Trends'!$D$45</f>
        <v>805.84280331088007</v>
      </c>
      <c r="F64" s="16">
        <f>F50*'Constants and Trends'!$D$45</f>
        <v>813.4563061272961</v>
      </c>
      <c r="G64" s="16">
        <f>G50*'Constants and Trends'!$D$45</f>
        <v>821.31815725430715</v>
      </c>
      <c r="H64" s="16">
        <f>H50*'Constants and Trends'!$D$45</f>
        <v>829.46248950256461</v>
      </c>
      <c r="I64" s="16">
        <f>I50*'Constants and Trends'!$D$45</f>
        <v>838.2715881198485</v>
      </c>
      <c r="J64" s="16">
        <f>J50*'Constants and Trends'!$D$45</f>
        <v>847.79971531857632</v>
      </c>
      <c r="K64" s="16">
        <f>K50*'Constants and Trends'!$D$45</f>
        <v>858.25222576823728</v>
      </c>
      <c r="L64" s="16">
        <f>L50*'Constants and Trends'!$D$45</f>
        <v>869.11529372690768</v>
      </c>
      <c r="M64" s="16">
        <f>M50*'Constants and Trends'!$D$45</f>
        <v>879.78717214531798</v>
      </c>
      <c r="N64" s="16">
        <f>N50*'Constants and Trends'!$D$45</f>
        <v>890.16919819821908</v>
      </c>
      <c r="O64" s="16">
        <f>O50*'Constants and Trends'!$D$45</f>
        <v>900.28789942150638</v>
      </c>
      <c r="P64" s="16">
        <f>P50*'Constants and Trends'!$D$45</f>
        <v>910.16184688917576</v>
      </c>
      <c r="Q64" s="16">
        <f>Q50*'Constants and Trends'!$D$45</f>
        <v>919.7240637880941</v>
      </c>
      <c r="R64" s="16">
        <f>R50*'Constants and Trends'!$D$45</f>
        <v>928.96467337911838</v>
      </c>
      <c r="S64" s="16">
        <f>S50*'Constants and Trends'!$D$45</f>
        <v>937.82578516485876</v>
      </c>
      <c r="T64" s="16">
        <f>T50*'Constants and Trends'!$D$45</f>
        <v>946.41735242343407</v>
      </c>
      <c r="U64" s="16">
        <f>U50*'Constants and Trends'!$D$45</f>
        <v>954.72447648699995</v>
      </c>
      <c r="V64" s="16">
        <f>V50*'Constants and Trends'!$D$45</f>
        <v>962.73002770134462</v>
      </c>
      <c r="W64" s="16">
        <f>W50*'Constants and Trends'!$D$45</f>
        <v>970.44058221573414</v>
      </c>
      <c r="X64" s="16">
        <f>X50*'Constants and Trends'!$D$45</f>
        <v>977.81737487794908</v>
      </c>
      <c r="Y64" s="16">
        <f>Y50*'Constants and Trends'!$D$45</f>
        <v>984.67699509290037</v>
      </c>
      <c r="Z64" s="16">
        <f>Z50*'Constants and Trends'!$D$45</f>
        <v>991.0191891139832</v>
      </c>
      <c r="AA64" s="16">
        <f>AA50*'Constants and Trends'!$D$45</f>
        <v>996.75385727704304</v>
      </c>
      <c r="AB64" s="16">
        <f>AB50*'Constants and Trends'!$D$45</f>
        <v>1001.9372155194079</v>
      </c>
      <c r="AC64" s="16">
        <f>AC50*'Constants and Trends'!$D$45</f>
        <v>1006.5687859600883</v>
      </c>
      <c r="AD64" s="16">
        <f>AD50*'Constants and Trends'!$D$45</f>
        <v>1010.9543008993501</v>
      </c>
      <c r="AE64" s="16">
        <f>AE50*'Constants and Trends'!$D$45</f>
        <v>1015.1257902911499</v>
      </c>
      <c r="AF64" s="16">
        <f>AF50*'Constants and Trends'!$D$45</f>
        <v>1018.849572530046</v>
      </c>
      <c r="AG64" s="16">
        <f>AG50*'Constants and Trends'!$D$45</f>
        <v>1022.3667912545744</v>
      </c>
      <c r="AH64" s="16">
        <f>AH50*'Constants and Trends'!$D$45</f>
        <v>1025.7699848183941</v>
      </c>
      <c r="AI64" s="173">
        <f>AI50*'Constants and Trends'!$D$45</f>
        <v>1028.7898649502249</v>
      </c>
    </row>
    <row r="65" spans="1:36" s="2" customFormat="1" outlineLevel="2" thickBot="1">
      <c r="A65" s="324"/>
      <c r="B65" s="321" t="s">
        <v>27</v>
      </c>
      <c r="C65" s="56" t="s">
        <v>191</v>
      </c>
      <c r="D65" s="19">
        <v>5523</v>
      </c>
      <c r="E65" s="19">
        <f>D65*(1+'Constants and Trends'!E27)</f>
        <v>5570.3001285181363</v>
      </c>
      <c r="F65" s="19">
        <f>E65*(1+'Constants and Trends'!F27)</f>
        <v>5622.9276329675295</v>
      </c>
      <c r="G65" s="19">
        <f>F65*(1+'Constants and Trends'!G27)</f>
        <v>5677.2718179168178</v>
      </c>
      <c r="H65" s="19">
        <f>G65*(1+'Constants and Trends'!H27)</f>
        <v>5733.5686226816824</v>
      </c>
      <c r="I65" s="19">
        <f>H65*(1+'Constants and Trends'!I27)</f>
        <v>5794.4605521726198</v>
      </c>
      <c r="J65" s="19">
        <f>I65*(1+'Constants and Trends'!J27)</f>
        <v>5860.3226879906106</v>
      </c>
      <c r="K65" s="19">
        <f>J65*(1+'Constants and Trends'!K27)</f>
        <v>5932.5745217997182</v>
      </c>
      <c r="L65" s="19">
        <f>K65*(1+'Constants and Trends'!L27)</f>
        <v>6007.6642894289253</v>
      </c>
      <c r="M65" s="19">
        <f>L65*(1+'Constants and Trends'!M27)</f>
        <v>6081.4324802986121</v>
      </c>
      <c r="N65" s="19">
        <f>M65*(1+'Constants and Trends'!N27)</f>
        <v>6153.1970984339978</v>
      </c>
      <c r="O65" s="19">
        <f>N65*(1+'Constants and Trends'!O27)</f>
        <v>6223.1415125218764</v>
      </c>
      <c r="P65" s="19">
        <f>O65*(1+'Constants and Trends'!P27)</f>
        <v>6291.3940930774934</v>
      </c>
      <c r="Q65" s="19">
        <f>P65*(1+'Constants and Trends'!Q27)</f>
        <v>6357.4918702148234</v>
      </c>
      <c r="R65" s="19">
        <f>Q65*(1+'Constants and Trends'!R27)</f>
        <v>6421.3665720561585</v>
      </c>
      <c r="S65" s="19">
        <f>R65*(1+'Constants and Trends'!S27)</f>
        <v>6482.6180368779906</v>
      </c>
      <c r="T65" s="19">
        <f>S65*(1+'Constants and Trends'!T27)</f>
        <v>6542.0063046741252</v>
      </c>
      <c r="U65" s="19">
        <f>T65*(1+'Constants and Trends'!U27)</f>
        <v>6599.4283900346682</v>
      </c>
      <c r="V65" s="19">
        <f>U65*(1+'Constants and Trends'!V27)</f>
        <v>6654.7658861007831</v>
      </c>
      <c r="W65" s="19">
        <f>V65*(1+'Constants and Trends'!W27)</f>
        <v>6708.0642497841036</v>
      </c>
      <c r="X65" s="19">
        <f>W65*(1+'Constants and Trends'!X27)</f>
        <v>6759.0555212151585</v>
      </c>
      <c r="Y65" s="19">
        <f>X65*(1+'Constants and Trends'!Y27)</f>
        <v>6806.4718947410365</v>
      </c>
      <c r="Z65" s="19">
        <f>Y65*(1+'Constants and Trends'!Z27)</f>
        <v>6850.311616366118</v>
      </c>
      <c r="AA65" s="19">
        <f>Z65*(1+'Constants and Trends'!AA27)</f>
        <v>6889.9518820289204</v>
      </c>
      <c r="AB65" s="19">
        <f>AA65*(1+'Constants and Trends'!AB27)</f>
        <v>6925.7812782399105</v>
      </c>
      <c r="AC65" s="19">
        <f>AB65*(1+'Constants and Trends'!AC27)</f>
        <v>6957.796501699082</v>
      </c>
      <c r="AD65" s="19">
        <f>AC65*(1+'Constants and Trends'!AD27)</f>
        <v>6988.1108934506992</v>
      </c>
      <c r="AE65" s="19">
        <f>AD65*(1+'Constants and Trends'!AE27)</f>
        <v>7016.9458570438283</v>
      </c>
      <c r="AF65" s="19">
        <f>AE65*(1+'Constants and Trends'!AF27)</f>
        <v>7042.6860939717671</v>
      </c>
      <c r="AG65" s="19">
        <f>AF65*(1+'Constants and Trends'!AG27)</f>
        <v>7066.9984832278005</v>
      </c>
      <c r="AH65" s="19">
        <f>AG65*(1+'Constants and Trends'!AH27)</f>
        <v>7090.522686047545</v>
      </c>
      <c r="AI65" s="40">
        <f>AH65*(1+'Constants and Trends'!AI27)</f>
        <v>7111.3972767460455</v>
      </c>
    </row>
    <row r="66" spans="1:36" s="2" customFormat="1" ht="29.25" outlineLevel="2" thickBot="1">
      <c r="A66" s="325"/>
      <c r="B66" s="322"/>
      <c r="C66" s="63" t="s">
        <v>209</v>
      </c>
      <c r="D66" s="50">
        <f>1095107+8685</f>
        <v>1103792</v>
      </c>
      <c r="E66" s="50">
        <f>D66*(1+'Constants and Trends'!E27)</f>
        <v>1113245.1058224319</v>
      </c>
      <c r="F66" s="50">
        <f>E66*(1+'Constants and Trends'!F27)</f>
        <v>1123762.9074503887</v>
      </c>
      <c r="G66" s="50">
        <f>F66*(1+'Constants and Trends'!G27)</f>
        <v>1134623.7940325986</v>
      </c>
      <c r="H66" s="50">
        <f>G66*(1+'Constants and Trends'!H27)</f>
        <v>1145874.9189149125</v>
      </c>
      <c r="I66" s="50">
        <f>H66*(1+'Constants and Trends'!I27)</f>
        <v>1158044.3964880903</v>
      </c>
      <c r="J66" s="50">
        <f>I66*(1+'Constants and Trends'!J27)</f>
        <v>1171207.1881989017</v>
      </c>
      <c r="K66" s="50">
        <f>J66*(1+'Constants and Trends'!K27)</f>
        <v>1185646.9847123586</v>
      </c>
      <c r="L66" s="50">
        <f>K66*(1+'Constants and Trends'!L27)</f>
        <v>1200653.9528077738</v>
      </c>
      <c r="M66" s="50">
        <f>L66*(1+'Constants and Trends'!M27)</f>
        <v>1215396.7988943995</v>
      </c>
      <c r="N66" s="50">
        <f>M66*(1+'Constants and Trends'!N27)</f>
        <v>1229739.2235514508</v>
      </c>
      <c r="O66" s="50">
        <f>N66*(1+'Constants and Trends'!O27)</f>
        <v>1243717.8736899423</v>
      </c>
      <c r="P66" s="50">
        <f>O66*(1+'Constants and Trends'!P27)</f>
        <v>1257358.4046326629</v>
      </c>
      <c r="Q66" s="50">
        <f>P66*(1+'Constants and Trends'!Q27)</f>
        <v>1270568.2901336527</v>
      </c>
      <c r="R66" s="50">
        <f>Q66*(1+'Constants and Trends'!R27)</f>
        <v>1283333.8858053621</v>
      </c>
      <c r="S66" s="50">
        <f>R66*(1+'Constants and Trends'!S27)</f>
        <v>1295575.2178456699</v>
      </c>
      <c r="T66" s="50">
        <f>S66*(1+'Constants and Trends'!T27)</f>
        <v>1307444.1830615366</v>
      </c>
      <c r="U66" s="50">
        <f>T66*(1+'Constants and Trends'!U27)</f>
        <v>1318920.1994374709</v>
      </c>
      <c r="V66" s="50">
        <f>U66*(1+'Constants and Trends'!V27)</f>
        <v>1329979.6029243092</v>
      </c>
      <c r="W66" s="50">
        <f>V66*(1+'Constants and Trends'!W27)</f>
        <v>1340631.4782541553</v>
      </c>
      <c r="X66" s="50">
        <f>W66*(1+'Constants and Trends'!X27)</f>
        <v>1350822.2726549206</v>
      </c>
      <c r="Y66" s="50">
        <f>X66*(1+'Constants and Trends'!Y27)</f>
        <v>1360298.6104725697</v>
      </c>
      <c r="Z66" s="50">
        <f>Y66*(1+'Constants and Trends'!Z27)</f>
        <v>1369060.1411645834</v>
      </c>
      <c r="AA66" s="50">
        <f>Z66*(1+'Constants and Trends'!AA27)</f>
        <v>1376982.3950332194</v>
      </c>
      <c r="AB66" s="50">
        <f>AA66*(1+'Constants and Trends'!AB27)</f>
        <v>1384143.0325314126</v>
      </c>
      <c r="AC66" s="50">
        <f>AB66*(1+'Constants and Trends'!AC27)</f>
        <v>1390541.3934824257</v>
      </c>
      <c r="AD66" s="50">
        <f>AC66*(1+'Constants and Trends'!AD27)</f>
        <v>1396599.8369190183</v>
      </c>
      <c r="AE66" s="50">
        <f>AD66*(1+'Constants and Trends'!AE27)</f>
        <v>1402362.6111602618</v>
      </c>
      <c r="AF66" s="50">
        <f>AE66*(1+'Constants and Trends'!AF27)</f>
        <v>1407506.8928186293</v>
      </c>
      <c r="AG66" s="50">
        <f>AF66*(1+'Constants and Trends'!AG27)</f>
        <v>1412365.8138328779</v>
      </c>
      <c r="AH66" s="50">
        <f>AG66*(1+'Constants and Trends'!AH27)</f>
        <v>1417067.2128694181</v>
      </c>
      <c r="AI66" s="187">
        <f>AH66*(1+'Constants and Trends'!AI27)</f>
        <v>1421239.0771128146</v>
      </c>
    </row>
    <row r="67" spans="1:36" s="2" customFormat="1" outlineLevel="2">
      <c r="A67" s="305" t="s">
        <v>29</v>
      </c>
      <c r="B67" s="306"/>
      <c r="C67" s="20" t="s">
        <v>30</v>
      </c>
      <c r="D67" s="21">
        <f>SUM(D51:D55,D59:D66)</f>
        <v>1939849.1819337322</v>
      </c>
      <c r="E67" s="21">
        <f t="shared" ref="E67:AI67" si="1">SUM(E51:E55,E59:E66)</f>
        <v>1934390.4050105987</v>
      </c>
      <c r="F67" s="21">
        <f t="shared" si="1"/>
        <v>1935668.1454643696</v>
      </c>
      <c r="G67" s="21">
        <f t="shared" si="1"/>
        <v>1928931.4729958784</v>
      </c>
      <c r="H67" s="21">
        <f t="shared" si="1"/>
        <v>1921643.0471013696</v>
      </c>
      <c r="I67" s="21">
        <f t="shared" si="1"/>
        <v>1916576.0363460197</v>
      </c>
      <c r="J67" s="21">
        <f t="shared" si="1"/>
        <v>1912255.8229162849</v>
      </c>
      <c r="K67" s="21">
        <f t="shared" si="1"/>
        <v>1911482.8908016342</v>
      </c>
      <c r="L67" s="21">
        <f t="shared" si="1"/>
        <v>1911151.2293006883</v>
      </c>
      <c r="M67" s="21">
        <f t="shared" si="1"/>
        <v>1910080.0590071999</v>
      </c>
      <c r="N67" s="21">
        <f t="shared" si="1"/>
        <v>1908139.6241662279</v>
      </c>
      <c r="O67" s="21">
        <f t="shared" si="1"/>
        <v>1905322.8953475088</v>
      </c>
      <c r="P67" s="21">
        <f t="shared" si="1"/>
        <v>1921639.6098641681</v>
      </c>
      <c r="Q67" s="21">
        <f t="shared" si="1"/>
        <v>1937720.045319343</v>
      </c>
      <c r="R67" s="21">
        <f t="shared" si="1"/>
        <v>1953516.1045801844</v>
      </c>
      <c r="S67" s="21">
        <f t="shared" si="1"/>
        <v>1968719.4316653586</v>
      </c>
      <c r="T67" s="21">
        <f t="shared" si="1"/>
        <v>1983684.1541122147</v>
      </c>
      <c r="U67" s="21">
        <f t="shared" si="1"/>
        <v>1998352.1083394047</v>
      </c>
      <c r="V67" s="21">
        <f t="shared" si="1"/>
        <v>2012688.3787338689</v>
      </c>
      <c r="W67" s="21">
        <f t="shared" si="1"/>
        <v>2026656.573209777</v>
      </c>
      <c r="X67" s="21">
        <f t="shared" si="1"/>
        <v>1976003.9583806123</v>
      </c>
      <c r="Y67" s="21">
        <f t="shared" si="1"/>
        <v>1988458.8399873695</v>
      </c>
      <c r="Z67" s="21">
        <f t="shared" si="1"/>
        <v>1999088.9514021913</v>
      </c>
      <c r="AA67" s="21">
        <f t="shared" si="1"/>
        <v>2008699.4206202021</v>
      </c>
      <c r="AB67" s="21">
        <f t="shared" si="1"/>
        <v>2017293.282191077</v>
      </c>
      <c r="AC67" s="21">
        <f t="shared" si="1"/>
        <v>2024879.440525814</v>
      </c>
      <c r="AD67" s="21">
        <f t="shared" si="1"/>
        <v>2031895.1397586321</v>
      </c>
      <c r="AE67" s="21">
        <f t="shared" si="1"/>
        <v>2038397.7400092087</v>
      </c>
      <c r="AF67" s="21">
        <f t="shared" si="1"/>
        <v>2044076.2056284426</v>
      </c>
      <c r="AG67" s="21">
        <f t="shared" si="1"/>
        <v>2049277.3174310299</v>
      </c>
      <c r="AH67" s="21">
        <f t="shared" si="1"/>
        <v>2054144.1473454582</v>
      </c>
      <c r="AI67" s="188">
        <f t="shared" si="1"/>
        <v>2058361.239810002</v>
      </c>
    </row>
    <row r="68" spans="1:36" s="2" customFormat="1" outlineLevel="2">
      <c r="A68" s="307"/>
      <c r="B68" s="308"/>
      <c r="C68" s="238" t="s">
        <v>96</v>
      </c>
      <c r="D68" s="239"/>
      <c r="E68" s="239">
        <f>E67-$D$67</f>
        <v>-5458.776923133526</v>
      </c>
      <c r="F68" s="239">
        <f t="shared" ref="F68:AI68" si="2">F67-$D$67</f>
        <v>-4181.0364693626761</v>
      </c>
      <c r="G68" s="239">
        <f t="shared" si="2"/>
        <v>-10917.708937853808</v>
      </c>
      <c r="H68" s="239">
        <f t="shared" si="2"/>
        <v>-18206.134832362644</v>
      </c>
      <c r="I68" s="239">
        <f t="shared" si="2"/>
        <v>-23273.145587712526</v>
      </c>
      <c r="J68" s="239">
        <f t="shared" si="2"/>
        <v>-27593.359017447336</v>
      </c>
      <c r="K68" s="239">
        <f t="shared" si="2"/>
        <v>-28366.291132098064</v>
      </c>
      <c r="L68" s="239">
        <f t="shared" si="2"/>
        <v>-28697.952633043984</v>
      </c>
      <c r="M68" s="239">
        <f t="shared" si="2"/>
        <v>-29769.122926532291</v>
      </c>
      <c r="N68" s="239">
        <f t="shared" si="2"/>
        <v>-31709.557767504361</v>
      </c>
      <c r="O68" s="239">
        <f t="shared" si="2"/>
        <v>-34526.286586223403</v>
      </c>
      <c r="P68" s="239">
        <f t="shared" si="2"/>
        <v>-18209.572069564136</v>
      </c>
      <c r="Q68" s="239">
        <f t="shared" si="2"/>
        <v>-2129.1366143892519</v>
      </c>
      <c r="R68" s="239">
        <f t="shared" si="2"/>
        <v>13666.922646452207</v>
      </c>
      <c r="S68" s="239">
        <f t="shared" si="2"/>
        <v>28870.249731626362</v>
      </c>
      <c r="T68" s="239">
        <f t="shared" si="2"/>
        <v>43834.972178482451</v>
      </c>
      <c r="U68" s="239">
        <f t="shared" si="2"/>
        <v>58502.92640567245</v>
      </c>
      <c r="V68" s="239">
        <f t="shared" si="2"/>
        <v>72839.196800136706</v>
      </c>
      <c r="W68" s="239">
        <f t="shared" si="2"/>
        <v>86807.391276044771</v>
      </c>
      <c r="X68" s="239">
        <f t="shared" si="2"/>
        <v>36154.776446880074</v>
      </c>
      <c r="Y68" s="239">
        <f t="shared" si="2"/>
        <v>48609.658053637249</v>
      </c>
      <c r="Z68" s="239">
        <f t="shared" si="2"/>
        <v>59239.769468459068</v>
      </c>
      <c r="AA68" s="239">
        <f t="shared" si="2"/>
        <v>68850.238686469849</v>
      </c>
      <c r="AB68" s="239">
        <f t="shared" si="2"/>
        <v>77444.100257344777</v>
      </c>
      <c r="AC68" s="239">
        <f t="shared" si="2"/>
        <v>85030.258592081722</v>
      </c>
      <c r="AD68" s="239">
        <f t="shared" si="2"/>
        <v>92045.957824899815</v>
      </c>
      <c r="AE68" s="239">
        <f t="shared" si="2"/>
        <v>98548.558075476438</v>
      </c>
      <c r="AF68" s="239">
        <f t="shared" si="2"/>
        <v>104227.02369471034</v>
      </c>
      <c r="AG68" s="239">
        <f t="shared" si="2"/>
        <v>109428.13549729763</v>
      </c>
      <c r="AH68" s="239">
        <f t="shared" si="2"/>
        <v>114294.96541172592</v>
      </c>
      <c r="AI68" s="240">
        <f t="shared" si="2"/>
        <v>118512.0578762698</v>
      </c>
    </row>
    <row r="69" spans="1:36" s="2" customFormat="1" ht="15.75" outlineLevel="2" thickBot="1">
      <c r="A69" s="309"/>
      <c r="B69" s="310"/>
      <c r="C69" s="236" t="s">
        <v>238</v>
      </c>
      <c r="D69" s="237"/>
      <c r="E69" s="235">
        <f>($D$67-E67)/$D$67</f>
        <v>2.8140213032911985E-3</v>
      </c>
      <c r="F69" s="235">
        <f t="shared" ref="F69:AI69" si="3">($D$67-F67)/$D$67</f>
        <v>2.1553409967649258E-3</v>
      </c>
      <c r="G69" s="235">
        <f t="shared" si="3"/>
        <v>5.6281225569147211E-3</v>
      </c>
      <c r="H69" s="235">
        <f t="shared" si="3"/>
        <v>9.3853352115827477E-3</v>
      </c>
      <c r="I69" s="235">
        <f t="shared" si="3"/>
        <v>1.1997399490878342E-2</v>
      </c>
      <c r="J69" s="235">
        <f t="shared" si="3"/>
        <v>1.4224486766512945E-2</v>
      </c>
      <c r="K69" s="235">
        <f t="shared" si="3"/>
        <v>1.4622936358290092E-2</v>
      </c>
      <c r="L69" s="235">
        <f t="shared" si="3"/>
        <v>1.4793909186505172E-2</v>
      </c>
      <c r="M69" s="235">
        <f t="shared" si="3"/>
        <v>1.5346101750475797E-2</v>
      </c>
      <c r="N69" s="235">
        <f t="shared" si="3"/>
        <v>1.6346403660048865E-2</v>
      </c>
      <c r="O69" s="235">
        <f t="shared" si="3"/>
        <v>1.7798438614596825E-2</v>
      </c>
      <c r="P69" s="235">
        <f t="shared" si="3"/>
        <v>9.3871071210865908E-3</v>
      </c>
      <c r="Q69" s="235">
        <f t="shared" si="3"/>
        <v>1.0975784273429077E-3</v>
      </c>
      <c r="R69" s="235">
        <f t="shared" si="3"/>
        <v>-7.045353202576491E-3</v>
      </c>
      <c r="S69" s="235">
        <f t="shared" si="3"/>
        <v>-1.4882729028886229E-2</v>
      </c>
      <c r="T69" s="235">
        <f t="shared" si="3"/>
        <v>-2.2597103211284553E-2</v>
      </c>
      <c r="U69" s="235">
        <f t="shared" si="3"/>
        <v>-3.0158492191312523E-2</v>
      </c>
      <c r="V69" s="235">
        <f t="shared" si="3"/>
        <v>-3.7548896831003736E-2</v>
      </c>
      <c r="W69" s="235">
        <f t="shared" si="3"/>
        <v>-4.4749556864782193E-2</v>
      </c>
      <c r="X69" s="235">
        <f t="shared" si="3"/>
        <v>-1.8637931641077018E-2</v>
      </c>
      <c r="Y69" s="235">
        <f t="shared" si="3"/>
        <v>-2.5058472847451406E-2</v>
      </c>
      <c r="Z69" s="235">
        <f t="shared" si="3"/>
        <v>-3.053833773273348E-2</v>
      </c>
      <c r="AA69" s="235">
        <f t="shared" si="3"/>
        <v>-3.5492572993657538E-2</v>
      </c>
      <c r="AB69" s="235">
        <f t="shared" si="3"/>
        <v>-3.9922742952699486E-2</v>
      </c>
      <c r="AC69" s="235">
        <f t="shared" si="3"/>
        <v>-4.3833437869288165E-2</v>
      </c>
      <c r="AD69" s="235">
        <f t="shared" si="3"/>
        <v>-4.7450058840731169E-2</v>
      </c>
      <c r="AE69" s="235">
        <f t="shared" si="3"/>
        <v>-5.0802175237787628E-2</v>
      </c>
      <c r="AF69" s="235">
        <f t="shared" si="3"/>
        <v>-5.3729446941236936E-2</v>
      </c>
      <c r="AG69" s="235">
        <f t="shared" si="3"/>
        <v>-5.6410640845910791E-2</v>
      </c>
      <c r="AH69" s="235">
        <f t="shared" si="3"/>
        <v>-5.8919511102296811E-2</v>
      </c>
      <c r="AI69" s="241">
        <f t="shared" si="3"/>
        <v>-6.1093439108565878E-2</v>
      </c>
      <c r="AJ69" s="228"/>
    </row>
    <row r="70" spans="1:36" s="2" customFormat="1" ht="14.25" outlineLevel="2">
      <c r="A70" s="297" t="s">
        <v>31</v>
      </c>
      <c r="B70" s="298"/>
      <c r="C70" s="22" t="s">
        <v>32</v>
      </c>
      <c r="D70" s="23">
        <f t="shared" ref="D70:AI70" si="4">(D60+D51)/D67</f>
        <v>7.3824207927122174E-2</v>
      </c>
      <c r="E70" s="23">
        <f t="shared" si="4"/>
        <v>6.998287406455822E-2</v>
      </c>
      <c r="F70" s="23">
        <f t="shared" si="4"/>
        <v>6.6387133039610594E-2</v>
      </c>
      <c r="G70" s="23">
        <f t="shared" si="4"/>
        <v>6.2907165331688719E-2</v>
      </c>
      <c r="H70" s="23">
        <f t="shared" si="4"/>
        <v>5.9284277844165206E-2</v>
      </c>
      <c r="I70" s="23">
        <f t="shared" si="4"/>
        <v>5.5591582795738732E-2</v>
      </c>
      <c r="J70" s="23">
        <f t="shared" si="4"/>
        <v>5.1747615694020525E-2</v>
      </c>
      <c r="K70" s="23">
        <f t="shared" si="4"/>
        <v>4.7811730983939413E-2</v>
      </c>
      <c r="L70" s="23">
        <f t="shared" si="4"/>
        <v>4.3681595641390548E-2</v>
      </c>
      <c r="M70" s="23">
        <f t="shared" si="4"/>
        <v>3.9351511445666426E-2</v>
      </c>
      <c r="N70" s="23">
        <f t="shared" si="4"/>
        <v>3.4815685775242071E-2</v>
      </c>
      <c r="O70" s="23">
        <f t="shared" si="4"/>
        <v>3.0065013950135513E-2</v>
      </c>
      <c r="P70" s="23">
        <f t="shared" si="4"/>
        <v>3.0367675097570383E-2</v>
      </c>
      <c r="Q70" s="23">
        <f t="shared" si="4"/>
        <v>3.0663439921869377E-2</v>
      </c>
      <c r="R70" s="23">
        <f t="shared" si="4"/>
        <v>3.0952301357224755E-2</v>
      </c>
      <c r="S70" s="23">
        <f t="shared" si="4"/>
        <v>3.1228529567109992E-2</v>
      </c>
      <c r="T70" s="23">
        <f t="shared" si="4"/>
        <v>3.1495440003797587E-2</v>
      </c>
      <c r="U70" s="23">
        <f t="shared" si="4"/>
        <v>3.1753278096157772E-2</v>
      </c>
      <c r="V70" s="23">
        <f t="shared" si="4"/>
        <v>3.2002273158519071E-2</v>
      </c>
      <c r="W70" s="23">
        <f t="shared" si="4"/>
        <v>3.2242455826321098E-2</v>
      </c>
      <c r="X70" s="23">
        <f t="shared" si="4"/>
        <v>3.3529329322630329E-2</v>
      </c>
      <c r="Y70" s="23">
        <f t="shared" si="4"/>
        <v>3.3764074138668283E-2</v>
      </c>
      <c r="Z70" s="23">
        <f t="shared" si="4"/>
        <v>3.4015477987498377E-2</v>
      </c>
      <c r="AA70" s="23">
        <f t="shared" si="4"/>
        <v>3.4268352102355716E-2</v>
      </c>
      <c r="AB70" s="23">
        <f t="shared" si="4"/>
        <v>3.4522950824541057E-2</v>
      </c>
      <c r="AC70" s="23">
        <f t="shared" si="4"/>
        <v>3.4779635213185611E-2</v>
      </c>
      <c r="AD70" s="23">
        <f t="shared" si="4"/>
        <v>3.5031561927975546E-2</v>
      </c>
      <c r="AE70" s="23">
        <f t="shared" si="4"/>
        <v>3.5278387793152489E-2</v>
      </c>
      <c r="AF70" s="23">
        <f t="shared" si="4"/>
        <v>3.5526214531926406E-2</v>
      </c>
      <c r="AG70" s="23">
        <f t="shared" si="4"/>
        <v>3.5769663902979323E-2</v>
      </c>
      <c r="AH70" s="23">
        <f t="shared" si="4"/>
        <v>3.600700057587259E-2</v>
      </c>
      <c r="AI70" s="44">
        <f t="shared" si="4"/>
        <v>3.6245860238263157E-2</v>
      </c>
    </row>
    <row r="71" spans="1:36" s="2" customFormat="1" ht="14.25" outlineLevel="2">
      <c r="A71" s="299"/>
      <c r="B71" s="300"/>
      <c r="C71" s="24" t="s">
        <v>33</v>
      </c>
      <c r="D71" s="25">
        <f t="shared" ref="D71:AI71" si="5">(D54+D53)/D67</f>
        <v>0.10076917412988746</v>
      </c>
      <c r="E71" s="25">
        <f t="shared" si="5"/>
        <v>0.1021899627827649</v>
      </c>
      <c r="F71" s="25">
        <f t="shared" si="5"/>
        <v>0.10328682082933617</v>
      </c>
      <c r="G71" s="25">
        <f t="shared" si="5"/>
        <v>0.10485283378153652</v>
      </c>
      <c r="H71" s="25">
        <f t="shared" si="5"/>
        <v>0.10646246793838808</v>
      </c>
      <c r="I71" s="25">
        <f t="shared" si="5"/>
        <v>0.10826902111812423</v>
      </c>
      <c r="J71" s="25">
        <f t="shared" si="5"/>
        <v>0.11015373181586595</v>
      </c>
      <c r="K71" s="25">
        <f t="shared" si="5"/>
        <v>0.11228003403164394</v>
      </c>
      <c r="L71" s="25">
        <f t="shared" si="5"/>
        <v>0.11446344324014913</v>
      </c>
      <c r="M71" s="25">
        <f t="shared" si="5"/>
        <v>0.11670951656121287</v>
      </c>
      <c r="N71" s="25">
        <f t="shared" si="5"/>
        <v>0.1190267319930732</v>
      </c>
      <c r="O71" s="25">
        <f t="shared" si="5"/>
        <v>0.12141615577733532</v>
      </c>
      <c r="P71" s="25">
        <f t="shared" si="5"/>
        <v>0.12259013480373489</v>
      </c>
      <c r="Q71" s="25">
        <f t="shared" si="5"/>
        <v>0.12376491767386441</v>
      </c>
      <c r="R71" s="25">
        <f t="shared" si="5"/>
        <v>0.1249406705867064</v>
      </c>
      <c r="S71" s="25">
        <f t="shared" si="5"/>
        <v>0.12609442934889073</v>
      </c>
      <c r="T71" s="25">
        <f t="shared" si="5"/>
        <v>0.12723970036202845</v>
      </c>
      <c r="U71" s="25">
        <f t="shared" si="5"/>
        <v>0.12837756530942593</v>
      </c>
      <c r="V71" s="25">
        <f t="shared" si="5"/>
        <v>0.12950901000407872</v>
      </c>
      <c r="W71" s="25">
        <f t="shared" si="5"/>
        <v>0.13063418684197731</v>
      </c>
      <c r="X71" s="25">
        <f t="shared" si="5"/>
        <v>0.13603549020701752</v>
      </c>
      <c r="Y71" s="25">
        <f t="shared" si="5"/>
        <v>0.13720438311551228</v>
      </c>
      <c r="Z71" s="25">
        <f t="shared" si="5"/>
        <v>0.13846492630982388</v>
      </c>
      <c r="AA71" s="25">
        <f t="shared" si="5"/>
        <v>0.13976273556053787</v>
      </c>
      <c r="AB71" s="25">
        <f t="shared" si="5"/>
        <v>0.14109946552132593</v>
      </c>
      <c r="AC71" s="25">
        <f t="shared" si="5"/>
        <v>0.14247725285511112</v>
      </c>
      <c r="AD71" s="25">
        <f t="shared" si="5"/>
        <v>0.14386869889830706</v>
      </c>
      <c r="AE71" s="25">
        <f t="shared" si="5"/>
        <v>0.14527290859065647</v>
      </c>
      <c r="AF71" s="25">
        <f t="shared" si="5"/>
        <v>0.14671559364583309</v>
      </c>
      <c r="AG71" s="25">
        <f t="shared" si="5"/>
        <v>0.14817522622513821</v>
      </c>
      <c r="AH71" s="25">
        <f t="shared" si="5"/>
        <v>0.14964516437290357</v>
      </c>
      <c r="AI71" s="45">
        <f t="shared" si="5"/>
        <v>0.1511519771425838</v>
      </c>
    </row>
    <row r="72" spans="1:36" s="2" customFormat="1" ht="14.25" outlineLevel="2">
      <c r="A72" s="299"/>
      <c r="B72" s="300"/>
      <c r="C72" s="24" t="s">
        <v>34</v>
      </c>
      <c r="D72" s="25">
        <f t="shared" ref="D72:AI72" si="6">D59/D67</f>
        <v>0.1395454113688093</v>
      </c>
      <c r="E72" s="25">
        <f t="shared" si="6"/>
        <v>0.13756133380504598</v>
      </c>
      <c r="F72" s="25">
        <f t="shared" si="6"/>
        <v>0.13526527878398853</v>
      </c>
      <c r="G72" s="25">
        <f t="shared" si="6"/>
        <v>0.13334447791646942</v>
      </c>
      <c r="H72" s="25">
        <f t="shared" si="6"/>
        <v>0.13120302661962688</v>
      </c>
      <c r="I72" s="25">
        <f t="shared" si="6"/>
        <v>0.12915913503906415</v>
      </c>
      <c r="J72" s="25">
        <f t="shared" si="6"/>
        <v>0.12699237795382382</v>
      </c>
      <c r="K72" s="25">
        <f t="shared" si="6"/>
        <v>0.12523446426070606</v>
      </c>
      <c r="L72" s="25">
        <f t="shared" si="6"/>
        <v>0.12364343527570357</v>
      </c>
      <c r="M72" s="25">
        <f t="shared" si="6"/>
        <v>0.12227672815050161</v>
      </c>
      <c r="N72" s="25">
        <f t="shared" si="6"/>
        <v>0.12115802097956943</v>
      </c>
      <c r="O72" s="25">
        <f t="shared" si="6"/>
        <v>0.12027094048125953</v>
      </c>
      <c r="P72" s="25">
        <f t="shared" si="6"/>
        <v>0.11837088650376026</v>
      </c>
      <c r="Q72" s="25">
        <f t="shared" si="6"/>
        <v>0.11668599239427298</v>
      </c>
      <c r="R72" s="25">
        <f t="shared" si="6"/>
        <v>0.11520132130711341</v>
      </c>
      <c r="S72" s="25">
        <f t="shared" si="6"/>
        <v>0.11387943538409137</v>
      </c>
      <c r="T72" s="25">
        <f t="shared" si="6"/>
        <v>0.11274051013986142</v>
      </c>
      <c r="U72" s="25">
        <f t="shared" si="6"/>
        <v>0.11176978506935321</v>
      </c>
      <c r="V72" s="25">
        <f t="shared" si="6"/>
        <v>0.11096282225297245</v>
      </c>
      <c r="W72" s="25">
        <f t="shared" si="6"/>
        <v>0.11029879350744767</v>
      </c>
      <c r="X72" s="25">
        <f t="shared" si="6"/>
        <v>0.11333727419688265</v>
      </c>
      <c r="Y72" s="25">
        <f t="shared" si="6"/>
        <v>0.11292484518983469</v>
      </c>
      <c r="Z72" s="25">
        <f t="shared" si="6"/>
        <v>0.11215322000308869</v>
      </c>
      <c r="AA72" s="25">
        <f t="shared" si="6"/>
        <v>0.11144613071443019</v>
      </c>
      <c r="AB72" s="25">
        <f t="shared" si="6"/>
        <v>0.11076298893666718</v>
      </c>
      <c r="AC72" s="25">
        <f t="shared" si="6"/>
        <v>0.11010436506334795</v>
      </c>
      <c r="AD72" s="25">
        <f t="shared" si="6"/>
        <v>0.10944829109120464</v>
      </c>
      <c r="AE72" s="25">
        <f t="shared" si="6"/>
        <v>0.10879398184367767</v>
      </c>
      <c r="AF72" s="25">
        <f t="shared" si="6"/>
        <v>0.1081603141712688</v>
      </c>
      <c r="AG72" s="25">
        <f t="shared" si="6"/>
        <v>0.10753070362326651</v>
      </c>
      <c r="AH72" s="25">
        <f t="shared" si="6"/>
        <v>0.10690020655598505</v>
      </c>
      <c r="AI72" s="45">
        <f t="shared" si="6"/>
        <v>0.10628753761339131</v>
      </c>
    </row>
    <row r="73" spans="1:36" s="2" customFormat="1" ht="14.25" outlineLevel="2">
      <c r="A73" s="299"/>
      <c r="B73" s="300"/>
      <c r="C73" s="26" t="s">
        <v>16</v>
      </c>
      <c r="D73" s="27">
        <f t="shared" ref="D73:AI73" si="7">D61/D67</f>
        <v>1.0897754421777604E-3</v>
      </c>
      <c r="E73" s="27">
        <f t="shared" si="7"/>
        <v>1.1051406627008036E-3</v>
      </c>
      <c r="F73" s="27">
        <f t="shared" si="7"/>
        <v>1.1170027125094852E-3</v>
      </c>
      <c r="G73" s="27">
        <f t="shared" si="7"/>
        <v>1.1339384716062154E-3</v>
      </c>
      <c r="H73" s="27">
        <f t="shared" si="7"/>
        <v>1.1513459753411009E-3</v>
      </c>
      <c r="I73" s="27">
        <f t="shared" si="7"/>
        <v>1.1708830739356273E-3</v>
      </c>
      <c r="J73" s="27">
        <f t="shared" si="7"/>
        <v>1.1912654125996438E-3</v>
      </c>
      <c r="K73" s="27">
        <f t="shared" si="7"/>
        <v>1.2142604600177784E-3</v>
      </c>
      <c r="L73" s="27">
        <f t="shared" si="7"/>
        <v>1.2378730950939256E-3</v>
      </c>
      <c r="M73" s="27">
        <f t="shared" si="7"/>
        <v>1.2621634156980309E-3</v>
      </c>
      <c r="N73" s="27">
        <f t="shared" si="7"/>
        <v>1.2872231077485166E-3</v>
      </c>
      <c r="O73" s="27">
        <f t="shared" si="7"/>
        <v>1.313063702191495E-3</v>
      </c>
      <c r="P73" s="27">
        <f t="shared" si="7"/>
        <v>1.3257597823534003E-3</v>
      </c>
      <c r="Q73" s="27">
        <f t="shared" si="7"/>
        <v>1.3384645557408259E-3</v>
      </c>
      <c r="R73" s="27">
        <f t="shared" si="7"/>
        <v>1.3511798197245581E-3</v>
      </c>
      <c r="S73" s="27">
        <f t="shared" si="7"/>
        <v>1.3636572263926448E-3</v>
      </c>
      <c r="T73" s="27">
        <f t="shared" si="7"/>
        <v>1.3760428416914941E-3</v>
      </c>
      <c r="U73" s="27">
        <f t="shared" si="7"/>
        <v>1.3883483635626008E-3</v>
      </c>
      <c r="V73" s="27">
        <f t="shared" si="7"/>
        <v>1.4005844531511248E-3</v>
      </c>
      <c r="W73" s="27">
        <f t="shared" si="7"/>
        <v>1.4127527585544078E-3</v>
      </c>
      <c r="X73" s="27">
        <f t="shared" si="7"/>
        <v>1.4711655401793307E-3</v>
      </c>
      <c r="Y73" s="27">
        <f t="shared" si="7"/>
        <v>1.4838066161553174E-3</v>
      </c>
      <c r="Z73" s="27">
        <f t="shared" si="7"/>
        <v>1.4974388507034979E-3</v>
      </c>
      <c r="AA73" s="27">
        <f t="shared" si="7"/>
        <v>1.5114741016844795E-3</v>
      </c>
      <c r="AB73" s="27">
        <f t="shared" si="7"/>
        <v>1.5259302634687611E-3</v>
      </c>
      <c r="AC73" s="27">
        <f t="shared" si="7"/>
        <v>1.5408304431503699E-3</v>
      </c>
      <c r="AD73" s="27">
        <f t="shared" si="7"/>
        <v>1.5558783359219811E-3</v>
      </c>
      <c r="AE73" s="27">
        <f t="shared" si="7"/>
        <v>1.5710642620904137E-3</v>
      </c>
      <c r="AF73" s="27">
        <f t="shared" si="7"/>
        <v>1.5866662828224859E-3</v>
      </c>
      <c r="AG73" s="27">
        <f t="shared" si="7"/>
        <v>1.6024515837665923E-3</v>
      </c>
      <c r="AH73" s="27">
        <f t="shared" si="7"/>
        <v>1.618348335018023E-3</v>
      </c>
      <c r="AI73" s="46">
        <f t="shared" si="7"/>
        <v>1.6346438695059881E-3</v>
      </c>
    </row>
    <row r="74" spans="1:36" s="2" customFormat="1" ht="14.25" outlineLevel="2">
      <c r="A74" s="299"/>
      <c r="B74" s="300"/>
      <c r="C74" s="26" t="s">
        <v>110</v>
      </c>
      <c r="D74" s="28">
        <f>D62/D67</f>
        <v>2.0877911735193614E-4</v>
      </c>
      <c r="E74" s="28">
        <f t="shared" ref="E74:AI74" si="8">E62/E67</f>
        <v>2.1172278542754279E-4</v>
      </c>
      <c r="F74" s="28">
        <f t="shared" si="8"/>
        <v>2.1399531625654751E-4</v>
      </c>
      <c r="G74" s="28">
        <f t="shared" si="8"/>
        <v>2.1723986802295043E-4</v>
      </c>
      <c r="H74" s="28">
        <f t="shared" si="8"/>
        <v>2.2057479660035284E-4</v>
      </c>
      <c r="I74" s="28">
        <f t="shared" si="8"/>
        <v>2.2431771284007999E-4</v>
      </c>
      <c r="J74" s="28">
        <f t="shared" si="8"/>
        <v>2.2822256012434048E-4</v>
      </c>
      <c r="K74" s="28">
        <f t="shared" si="8"/>
        <v>2.32627950003406E-4</v>
      </c>
      <c r="L74" s="28">
        <f t="shared" si="8"/>
        <v>2.3715165729093656E-4</v>
      </c>
      <c r="M74" s="28">
        <f t="shared" si="8"/>
        <v>2.4180519553344487E-4</v>
      </c>
      <c r="N74" s="28">
        <f t="shared" si="8"/>
        <v>2.4660612991397787E-4</v>
      </c>
      <c r="O74" s="28">
        <f t="shared" si="8"/>
        <v>2.5155666953053708E-4</v>
      </c>
      <c r="P74" s="28">
        <f t="shared" si="8"/>
        <v>2.5398898384726914E-4</v>
      </c>
      <c r="Q74" s="28">
        <f t="shared" si="8"/>
        <v>2.5642296361165295E-4</v>
      </c>
      <c r="R74" s="28">
        <f t="shared" si="8"/>
        <v>2.5885895316388164E-4</v>
      </c>
      <c r="S74" s="28">
        <f t="shared" si="8"/>
        <v>2.6124937402508089E-4</v>
      </c>
      <c r="T74" s="28">
        <f t="shared" si="8"/>
        <v>2.6362220950097205E-4</v>
      </c>
      <c r="U74" s="28">
        <f t="shared" si="8"/>
        <v>2.6597970068252275E-4</v>
      </c>
      <c r="V74" s="28">
        <f t="shared" si="8"/>
        <v>2.6832389003131763E-4</v>
      </c>
      <c r="W74" s="28">
        <f t="shared" si="8"/>
        <v>2.706550932897517E-4</v>
      </c>
      <c r="X74" s="28">
        <f t="shared" si="8"/>
        <v>2.8184581067768635E-4</v>
      </c>
      <c r="Y74" s="28">
        <f t="shared" si="8"/>
        <v>2.8426758729560244E-4</v>
      </c>
      <c r="Z74" s="28">
        <f t="shared" si="8"/>
        <v>2.8687925001651685E-4</v>
      </c>
      <c r="AA74" s="28">
        <f t="shared" si="8"/>
        <v>2.895681226027503E-4</v>
      </c>
      <c r="AB74" s="28">
        <f t="shared" si="8"/>
        <v>2.9233763325678722E-4</v>
      </c>
      <c r="AC74" s="28">
        <f t="shared" si="8"/>
        <v>2.9519220883438962E-4</v>
      </c>
      <c r="AD74" s="28">
        <f t="shared" si="8"/>
        <v>2.9807508327738989E-4</v>
      </c>
      <c r="AE74" s="28">
        <f t="shared" si="8"/>
        <v>3.009844021507178E-4</v>
      </c>
      <c r="AF74" s="28">
        <f t="shared" si="8"/>
        <v>3.0397343639692838E-4</v>
      </c>
      <c r="AG74" s="28">
        <f t="shared" si="8"/>
        <v>3.0699758345575673E-4</v>
      </c>
      <c r="AH74" s="28">
        <f t="shared" si="8"/>
        <v>3.1004308215813579E-4</v>
      </c>
      <c r="AI74" s="47">
        <f t="shared" si="8"/>
        <v>3.1316497973033348E-4</v>
      </c>
    </row>
    <row r="75" spans="1:36" s="2" customFormat="1" ht="14.25" outlineLevel="2">
      <c r="A75" s="299"/>
      <c r="B75" s="300"/>
      <c r="C75" s="26" t="s">
        <v>35</v>
      </c>
      <c r="D75" s="27">
        <f>D63/D67</f>
        <v>3.4414015595507538E-2</v>
      </c>
      <c r="E75" s="27">
        <f t="shared" ref="E75:AI75" si="9">E63/E67</f>
        <v>3.480669120191366E-2</v>
      </c>
      <c r="F75" s="27">
        <f t="shared" si="9"/>
        <v>3.5112347423984079E-2</v>
      </c>
      <c r="G75" s="27">
        <f t="shared" si="9"/>
        <v>3.5575512295191368E-2</v>
      </c>
      <c r="H75" s="27">
        <f t="shared" si="9"/>
        <v>3.6064554339277098E-2</v>
      </c>
      <c r="I75" s="27">
        <f t="shared" si="9"/>
        <v>3.6543928361368876E-2</v>
      </c>
      <c r="J75" s="27">
        <f t="shared" si="9"/>
        <v>3.7042800463079707E-2</v>
      </c>
      <c r="K75" s="27">
        <f t="shared" si="9"/>
        <v>3.7514664009224652E-2</v>
      </c>
      <c r="L75" s="27">
        <f t="shared" si="9"/>
        <v>3.7996087225320656E-2</v>
      </c>
      <c r="M75" s="27">
        <f t="shared" si="9"/>
        <v>3.8484211490064868E-2</v>
      </c>
      <c r="N75" s="27">
        <f t="shared" si="9"/>
        <v>3.8977946073185395E-2</v>
      </c>
      <c r="O75" s="27">
        <f t="shared" si="9"/>
        <v>3.9479292812395574E-2</v>
      </c>
      <c r="P75" s="27">
        <f t="shared" si="9"/>
        <v>3.9573386998721032E-2</v>
      </c>
      <c r="Q75" s="27">
        <f t="shared" si="9"/>
        <v>3.9657292037998768E-2</v>
      </c>
      <c r="R75" s="27">
        <f t="shared" si="9"/>
        <v>3.9731845773143599E-2</v>
      </c>
      <c r="S75" s="27">
        <f t="shared" si="9"/>
        <v>3.9801082064720175E-2</v>
      </c>
      <c r="T75" s="27">
        <f t="shared" si="9"/>
        <v>3.9862699719432404E-2</v>
      </c>
      <c r="U75" s="27">
        <f t="shared" si="9"/>
        <v>3.9917430852847033E-2</v>
      </c>
      <c r="V75" s="27">
        <f t="shared" si="9"/>
        <v>3.9965432447623822E-2</v>
      </c>
      <c r="W75" s="27">
        <f t="shared" si="9"/>
        <v>4.0007860383352287E-2</v>
      </c>
      <c r="X75" s="27">
        <f t="shared" si="9"/>
        <v>8.8674456998918787E-3</v>
      </c>
      <c r="Y75" s="27">
        <f t="shared" si="9"/>
        <v>8.9436397458668871E-3</v>
      </c>
      <c r="Z75" s="27">
        <f t="shared" si="9"/>
        <v>9.0258079970410195E-3</v>
      </c>
      <c r="AA75" s="27">
        <f t="shared" si="9"/>
        <v>9.1104054285054865E-3</v>
      </c>
      <c r="AB75" s="27">
        <f t="shared" si="9"/>
        <v>9.1975398985226029E-3</v>
      </c>
      <c r="AC75" s="27">
        <f t="shared" si="9"/>
        <v>9.2873506850294635E-3</v>
      </c>
      <c r="AD75" s="27">
        <f t="shared" si="9"/>
        <v>9.3780518117250987E-3</v>
      </c>
      <c r="AE75" s="27">
        <f t="shared" si="9"/>
        <v>9.4695849342890815E-3</v>
      </c>
      <c r="AF75" s="27">
        <f t="shared" si="9"/>
        <v>9.5636260655361967E-3</v>
      </c>
      <c r="AG75" s="27">
        <f t="shared" si="9"/>
        <v>9.6587719176890775E-3</v>
      </c>
      <c r="AH75" s="27">
        <f t="shared" si="9"/>
        <v>9.7545895362213652E-3</v>
      </c>
      <c r="AI75" s="46">
        <f t="shared" si="9"/>
        <v>9.8528108194667098E-3</v>
      </c>
    </row>
    <row r="76" spans="1:36" s="2" customFormat="1" ht="14.25" outlineLevel="2">
      <c r="A76" s="299"/>
      <c r="B76" s="300"/>
      <c r="C76" s="64" t="s">
        <v>28</v>
      </c>
      <c r="D76" s="25">
        <f>D65/D67</f>
        <v>2.8471285558882551E-3</v>
      </c>
      <c r="E76" s="25">
        <f t="shared" ref="E76:AI76" si="10">E65/E67</f>
        <v>2.879615259716725E-3</v>
      </c>
      <c r="F76" s="25">
        <f t="shared" si="10"/>
        <v>2.9049027056332432E-3</v>
      </c>
      <c r="G76" s="25">
        <f t="shared" si="10"/>
        <v>2.9432211031837669E-3</v>
      </c>
      <c r="H76" s="25">
        <f t="shared" si="10"/>
        <v>2.9836803621412773E-3</v>
      </c>
      <c r="I76" s="25">
        <f t="shared" si="10"/>
        <v>3.0233397696132337E-3</v>
      </c>
      <c r="J76" s="25">
        <f t="shared" si="10"/>
        <v>3.0646122855326587E-3</v>
      </c>
      <c r="K76" s="25">
        <f t="shared" si="10"/>
        <v>3.10365033887995E-3</v>
      </c>
      <c r="L76" s="25">
        <f t="shared" si="10"/>
        <v>3.1434792795686805E-3</v>
      </c>
      <c r="M76" s="25">
        <f t="shared" si="10"/>
        <v>3.1838626091199294E-3</v>
      </c>
      <c r="N76" s="25">
        <f t="shared" si="10"/>
        <v>3.2247100896102775E-3</v>
      </c>
      <c r="O76" s="25">
        <f t="shared" si="10"/>
        <v>3.2661873363920542E-3</v>
      </c>
      <c r="P76" s="25">
        <f t="shared" si="10"/>
        <v>3.2739719044000155E-3</v>
      </c>
      <c r="Q76" s="25">
        <f t="shared" si="10"/>
        <v>3.2809135073828925E-3</v>
      </c>
      <c r="R76" s="25">
        <f t="shared" si="10"/>
        <v>3.287081461473862E-3</v>
      </c>
      <c r="S76" s="25">
        <f t="shared" si="10"/>
        <v>3.2928094946440803E-3</v>
      </c>
      <c r="T76" s="25">
        <f t="shared" si="10"/>
        <v>3.2979072253576372E-3</v>
      </c>
      <c r="U76" s="25">
        <f t="shared" si="10"/>
        <v>3.3024352227489463E-3</v>
      </c>
      <c r="V76" s="25">
        <f t="shared" si="10"/>
        <v>3.306406474253668E-3</v>
      </c>
      <c r="W76" s="25">
        <f t="shared" si="10"/>
        <v>3.3099166077062625E-3</v>
      </c>
      <c r="X76" s="25">
        <f t="shared" si="10"/>
        <v>3.4205678043045945E-3</v>
      </c>
      <c r="Y76" s="25">
        <f t="shared" si="10"/>
        <v>3.4229885768137249E-3</v>
      </c>
      <c r="Z76" s="25">
        <f t="shared" si="10"/>
        <v>3.4267167609331266E-3</v>
      </c>
      <c r="AA76" s="25">
        <f t="shared" si="10"/>
        <v>3.4300561902395493E-3</v>
      </c>
      <c r="AB76" s="25">
        <f t="shared" si="10"/>
        <v>3.433204948126082E-3</v>
      </c>
      <c r="AC76" s="25">
        <f t="shared" si="10"/>
        <v>3.4361534629895321E-3</v>
      </c>
      <c r="AD76" s="25">
        <f t="shared" si="10"/>
        <v>3.439208429959045E-3</v>
      </c>
      <c r="AE76" s="25">
        <f t="shared" si="10"/>
        <v>3.4423830635782241E-3</v>
      </c>
      <c r="AF76" s="25">
        <f t="shared" si="10"/>
        <v>3.4454126879318197E-3</v>
      </c>
      <c r="AG76" s="25">
        <f t="shared" si="10"/>
        <v>3.4485320376682724E-3</v>
      </c>
      <c r="AH76" s="25">
        <f t="shared" si="10"/>
        <v>3.4518135911788513E-3</v>
      </c>
      <c r="AI76" s="45">
        <f t="shared" si="10"/>
        <v>3.4548830104294357E-3</v>
      </c>
    </row>
    <row r="77" spans="1:36" s="2" customFormat="1" outlineLevel="2" thickBot="1">
      <c r="A77" s="301"/>
      <c r="B77" s="302"/>
      <c r="C77" s="189" t="s">
        <v>190</v>
      </c>
      <c r="D77" s="190">
        <f>D66/D67</f>
        <v>0.56900918395093403</v>
      </c>
      <c r="E77" s="190">
        <f t="shared" ref="E77:AI77" si="11">E66/E67</f>
        <v>0.57550177199950092</v>
      </c>
      <c r="F77" s="190">
        <f t="shared" si="11"/>
        <v>0.58055556169768774</v>
      </c>
      <c r="G77" s="190">
        <f t="shared" si="11"/>
        <v>0.58821363532960669</v>
      </c>
      <c r="H77" s="190">
        <f t="shared" si="11"/>
        <v>0.59629956804067463</v>
      </c>
      <c r="I77" s="190">
        <f t="shared" si="11"/>
        <v>0.60422564747074625</v>
      </c>
      <c r="J77" s="190">
        <f t="shared" si="11"/>
        <v>0.61247411259689755</v>
      </c>
      <c r="K77" s="190">
        <f t="shared" si="11"/>
        <v>0.62027601210446837</v>
      </c>
      <c r="L77" s="190">
        <f t="shared" si="11"/>
        <v>0.62823597337564263</v>
      </c>
      <c r="M77" s="190">
        <f t="shared" si="11"/>
        <v>0.63630673131372562</v>
      </c>
      <c r="N77" s="190">
        <f t="shared" si="11"/>
        <v>0.64447025153559823</v>
      </c>
      <c r="O77" s="190">
        <f t="shared" si="11"/>
        <v>0.65275963288264716</v>
      </c>
      <c r="P77" s="190">
        <f t="shared" si="11"/>
        <v>0.65431540762294127</v>
      </c>
      <c r="Q77" s="190">
        <f t="shared" si="11"/>
        <v>0.65570271268172731</v>
      </c>
      <c r="R77" s="190">
        <f t="shared" si="11"/>
        <v>0.65693540114487758</v>
      </c>
      <c r="S77" s="190">
        <f t="shared" si="11"/>
        <v>0.65808016978312167</v>
      </c>
      <c r="T77" s="190">
        <f t="shared" si="11"/>
        <v>0.65909897014158236</v>
      </c>
      <c r="U77" s="190">
        <f t="shared" si="11"/>
        <v>0.66000390718604152</v>
      </c>
      <c r="V77" s="190">
        <f t="shared" si="11"/>
        <v>0.66079757650360438</v>
      </c>
      <c r="W77" s="190">
        <f t="shared" si="11"/>
        <v>0.66149908967106874</v>
      </c>
      <c r="X77" s="190">
        <f t="shared" si="11"/>
        <v>0.68361314101918869</v>
      </c>
      <c r="Y77" s="190">
        <f t="shared" si="11"/>
        <v>0.6840969413685275</v>
      </c>
      <c r="Z77" s="190">
        <f t="shared" si="11"/>
        <v>0.68484203276912903</v>
      </c>
      <c r="AA77" s="190">
        <f t="shared" si="11"/>
        <v>0.68550943008091525</v>
      </c>
      <c r="AB77" s="190">
        <f t="shared" si="11"/>
        <v>0.68613872100343776</v>
      </c>
      <c r="AC77" s="190">
        <f t="shared" si="11"/>
        <v>0.68672799261635775</v>
      </c>
      <c r="AD77" s="190">
        <f t="shared" si="11"/>
        <v>0.6873385390768344</v>
      </c>
      <c r="AE77" s="190">
        <f t="shared" si="11"/>
        <v>0.68797300136033634</v>
      </c>
      <c r="AF77" s="190">
        <f t="shared" si="11"/>
        <v>0.68857848300518587</v>
      </c>
      <c r="AG77" s="190">
        <f t="shared" si="11"/>
        <v>0.68920189660002529</v>
      </c>
      <c r="AH77" s="190">
        <f t="shared" si="11"/>
        <v>0.6898577272197155</v>
      </c>
      <c r="AI77" s="191">
        <f t="shared" si="11"/>
        <v>0.6904711620220767</v>
      </c>
    </row>
    <row r="78" spans="1:36" outlineLevel="2"/>
    <row r="79" spans="1:36" outlineLevel="1"/>
  </sheetData>
  <mergeCells count="20">
    <mergeCell ref="B63:B64"/>
    <mergeCell ref="B49:B50"/>
    <mergeCell ref="A33:P33"/>
    <mergeCell ref="A32:P32"/>
    <mergeCell ref="A70:B77"/>
    <mergeCell ref="A1:H1"/>
    <mergeCell ref="A26:P26"/>
    <mergeCell ref="A27:P27"/>
    <mergeCell ref="A28:P28"/>
    <mergeCell ref="A29:P29"/>
    <mergeCell ref="A30:P30"/>
    <mergeCell ref="A31:P31"/>
    <mergeCell ref="A67:B69"/>
    <mergeCell ref="A36:A50"/>
    <mergeCell ref="B40:B46"/>
    <mergeCell ref="B56:B60"/>
    <mergeCell ref="B36:B39"/>
    <mergeCell ref="B51:B55"/>
    <mergeCell ref="B65:B66"/>
    <mergeCell ref="A51:A6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IR98"/>
  <sheetViews>
    <sheetView topLeftCell="A22" zoomScaleNormal="100" workbookViewId="0">
      <selection activeCell="A47" sqref="A47:Q47"/>
    </sheetView>
  </sheetViews>
  <sheetFormatPr defaultColWidth="9" defaultRowHeight="15" outlineLevelRow="1"/>
  <cols>
    <col min="1" max="1" width="29.44140625" style="144" customWidth="1"/>
    <col min="2" max="2" width="21.33203125" style="144" customWidth="1"/>
    <col min="3" max="3" width="45.33203125" style="144" customWidth="1"/>
    <col min="4" max="23" width="15.44140625" style="144" customWidth="1"/>
    <col min="24" max="32" width="11.6640625" style="144" customWidth="1"/>
    <col min="33" max="35" width="12.21875" style="144" customWidth="1"/>
    <col min="36" max="48" width="11.6640625" style="144" customWidth="1"/>
    <col min="49" max="49" width="14.44140625" style="144" customWidth="1"/>
    <col min="50" max="50" width="9" style="144"/>
    <col min="51" max="51" width="14.44140625" style="144" customWidth="1"/>
    <col min="52" max="16384" width="9" style="144"/>
  </cols>
  <sheetData>
    <row r="1" spans="1:251" s="71" customFormat="1" ht="25.5">
      <c r="A1" s="70" t="s">
        <v>189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102"/>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row>
    <row r="2" spans="1:251" s="71" customFormat="1" ht="21" thickBot="1">
      <c r="A2" s="103" t="s">
        <v>119</v>
      </c>
      <c r="B2" s="104"/>
      <c r="C2" s="104"/>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6"/>
      <c r="AK2" s="106"/>
      <c r="AL2" s="106"/>
      <c r="AM2" s="106"/>
      <c r="AN2" s="106"/>
      <c r="AO2" s="106"/>
      <c r="AP2" s="106"/>
      <c r="AQ2" s="106"/>
      <c r="AR2" s="106"/>
      <c r="AS2" s="106"/>
      <c r="AT2" s="106"/>
      <c r="AU2" s="106"/>
      <c r="AV2" s="106"/>
      <c r="AW2" s="186"/>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row>
    <row r="3" spans="1:251" s="113" customFormat="1" ht="13.5" thickBot="1">
      <c r="A3" s="107"/>
      <c r="B3" s="108"/>
      <c r="C3" s="108"/>
      <c r="D3" s="109">
        <v>2019</v>
      </c>
      <c r="E3" s="110">
        <v>2020</v>
      </c>
      <c r="F3" s="110">
        <v>2021</v>
      </c>
      <c r="G3" s="110">
        <v>2022</v>
      </c>
      <c r="H3" s="110">
        <v>2023</v>
      </c>
      <c r="I3" s="110">
        <v>2024</v>
      </c>
      <c r="J3" s="110">
        <v>2025</v>
      </c>
      <c r="K3" s="110">
        <v>2026</v>
      </c>
      <c r="L3" s="110">
        <v>2027</v>
      </c>
      <c r="M3" s="110">
        <v>2028</v>
      </c>
      <c r="N3" s="110">
        <v>2029</v>
      </c>
      <c r="O3" s="110">
        <v>2030</v>
      </c>
      <c r="P3" s="110">
        <v>2031</v>
      </c>
      <c r="Q3" s="110">
        <v>2032</v>
      </c>
      <c r="R3" s="110">
        <v>2033</v>
      </c>
      <c r="S3" s="110">
        <v>2034</v>
      </c>
      <c r="T3" s="110">
        <v>2035</v>
      </c>
      <c r="U3" s="110">
        <v>2036</v>
      </c>
      <c r="V3" s="110">
        <v>2037</v>
      </c>
      <c r="W3" s="110">
        <v>2038</v>
      </c>
      <c r="X3" s="110">
        <v>2039</v>
      </c>
      <c r="Y3" s="110">
        <v>2040</v>
      </c>
      <c r="Z3" s="110">
        <v>2041</v>
      </c>
      <c r="AA3" s="110">
        <v>2042</v>
      </c>
      <c r="AB3" s="110">
        <v>2043</v>
      </c>
      <c r="AC3" s="110">
        <v>2044</v>
      </c>
      <c r="AD3" s="110">
        <v>2045</v>
      </c>
      <c r="AE3" s="110">
        <v>2046</v>
      </c>
      <c r="AF3" s="110">
        <v>2047</v>
      </c>
      <c r="AG3" s="110">
        <v>2048</v>
      </c>
      <c r="AH3" s="110">
        <v>2049</v>
      </c>
      <c r="AI3" s="111">
        <v>2050</v>
      </c>
      <c r="AJ3" s="112"/>
    </row>
    <row r="4" spans="1:251" s="116" customFormat="1">
      <c r="A4" s="332"/>
      <c r="B4" s="334" t="s">
        <v>120</v>
      </c>
      <c r="C4" s="114" t="s">
        <v>177</v>
      </c>
      <c r="D4" s="115">
        <f>651994025-D5</f>
        <v>649562029.5</v>
      </c>
      <c r="E4" s="115">
        <f>D4*(1+'Constants and Trends'!E24)</f>
        <v>656866835.12249923</v>
      </c>
      <c r="F4" s="115">
        <f>E4*(1+'Constants and Trends'!F24)</f>
        <v>664355872.01387858</v>
      </c>
      <c r="G4" s="115">
        <f>F4*(1+'Constants and Trends'!G24)</f>
        <v>672081492.80360508</v>
      </c>
      <c r="H4" s="115">
        <f>G4*(1+'Constants and Trends'!H24)</f>
        <v>679820431.97478616</v>
      </c>
      <c r="I4" s="115">
        <f>H4*(1+'Constants and Trends'!I24)</f>
        <v>689533274.78891766</v>
      </c>
      <c r="J4" s="115">
        <f>I4*(1+'Constants and Trends'!J24)</f>
        <v>699955083.05370188</v>
      </c>
      <c r="K4" s="115">
        <f>J4*(1+'Constants and Trends'!K24)</f>
        <v>713177963.61443162</v>
      </c>
      <c r="L4" s="115">
        <f>K4*(1+'Constants and Trends'!L24)</f>
        <v>726920346.52198076</v>
      </c>
      <c r="M4" s="115">
        <f>L4*(1+'Constants and Trends'!M24)</f>
        <v>740769010.25877118</v>
      </c>
      <c r="N4" s="115">
        <f>M4*(1+'Constants and Trends'!N24)</f>
        <v>754709166.18332505</v>
      </c>
      <c r="O4" s="115">
        <f>N4*(1+'Constants and Trends'!O24)</f>
        <v>768723272.71506095</v>
      </c>
      <c r="P4" s="115">
        <f>O4*(1+'Constants and Trends'!P24)</f>
        <v>782802906.44429719</v>
      </c>
      <c r="Q4" s="115">
        <f>P4*(1+'Constants and Trends'!Q24)</f>
        <v>796917848.99298263</v>
      </c>
      <c r="R4" s="115">
        <f>Q4*(1+'Constants and Trends'!R24)</f>
        <v>811046572.37620986</v>
      </c>
      <c r="S4" s="115">
        <f>R4*(1+'Constants and Trends'!S24)</f>
        <v>824906438.31970668</v>
      </c>
      <c r="T4" s="115">
        <f>S4*(1+'Constants and Trends'!T24)</f>
        <v>838726039.71310496</v>
      </c>
      <c r="U4" s="115">
        <f>T4*(1+'Constants and Trends'!U24)</f>
        <v>852483757.04283106</v>
      </c>
      <c r="V4" s="115">
        <f>U4*(1+'Constants and Trends'!V24)</f>
        <v>866166708.32829583</v>
      </c>
      <c r="W4" s="115">
        <f>V4*(1+'Constants and Trends'!W24)</f>
        <v>879755463.68461657</v>
      </c>
      <c r="X4" s="115">
        <f>W4*(1+'Constants and Trends'!X24)</f>
        <v>893233496.747177</v>
      </c>
      <c r="Y4" s="115">
        <f>X4*(1+'Constants and Trends'!Y24)</f>
        <v>906587143.75569296</v>
      </c>
      <c r="Z4" s="115">
        <f>Y4*(1+'Constants and Trends'!Z24)</f>
        <v>919807322.42644453</v>
      </c>
      <c r="AA4" s="115">
        <f>Z4*(1+'Constants and Trends'!AA24)</f>
        <v>932891877.02487159</v>
      </c>
      <c r="AB4" s="115">
        <f>AA4*(1+'Constants and Trends'!AB24)</f>
        <v>945843700.58438861</v>
      </c>
      <c r="AC4" s="115">
        <f>AB4*(1+'Constants and Trends'!AC24)</f>
        <v>958671172.90842283</v>
      </c>
      <c r="AD4" s="115">
        <f>AC4*(1+'Constants and Trends'!AD24)</f>
        <v>971387638.04990137</v>
      </c>
      <c r="AE4" s="115">
        <f>AD4*(1+'Constants and Trends'!AE24)</f>
        <v>984007765.61269474</v>
      </c>
      <c r="AF4" s="115">
        <f>AE4*(1+'Constants and Trends'!AF24)</f>
        <v>996548231.58179152</v>
      </c>
      <c r="AG4" s="115">
        <f>AF4*(1+'Constants and Trends'!AG24)</f>
        <v>1009023536.7598342</v>
      </c>
      <c r="AH4" s="115">
        <f>AG4*(1+'Constants and Trends'!AH24)</f>
        <v>1021453424.8143603</v>
      </c>
      <c r="AI4" s="243">
        <f>AH4*(1+'Constants and Trends'!AI24)</f>
        <v>1033856809.0454713</v>
      </c>
      <c r="AK4" s="117"/>
    </row>
    <row r="5" spans="1:251" s="116" customFormat="1">
      <c r="A5" s="333"/>
      <c r="B5" s="335"/>
      <c r="C5" s="118" t="s">
        <v>178</v>
      </c>
      <c r="D5" s="119">
        <f>(2431995+2188796+243200)/2</f>
        <v>2431995.5</v>
      </c>
      <c r="E5" s="119">
        <f>D5*(1+'Constants and Trends'!E24)</f>
        <v>2459345.0887928787</v>
      </c>
      <c r="F5" s="119">
        <f>E5*(1+'Constants and Trends'!F24)</f>
        <v>2487384.449457461</v>
      </c>
      <c r="G5" s="119">
        <f>F5*(1+'Constants and Trends'!G24)</f>
        <v>2516309.5930804401</v>
      </c>
      <c r="H5" s="119">
        <f>G5*(1+'Constants and Trends'!H24)</f>
        <v>2545284.601446575</v>
      </c>
      <c r="I5" s="119">
        <f>H5*(1+'Constants and Trends'!I24)</f>
        <v>2581650.0122055104</v>
      </c>
      <c r="J5" s="119">
        <f>I5*(1+'Constants and Trends'!J24)</f>
        <v>2620669.8280979632</v>
      </c>
      <c r="K5" s="119">
        <f>J5*(1+'Constants and Trends'!K24)</f>
        <v>2670177.0107229785</v>
      </c>
      <c r="L5" s="119">
        <f>K5*(1+'Constants and Trends'!L24)</f>
        <v>2721629.2383357328</v>
      </c>
      <c r="M5" s="119">
        <f>L5*(1+'Constants and Trends'!M24)</f>
        <v>2773479.387142634</v>
      </c>
      <c r="N5" s="119">
        <f>M5*(1+'Constants and Trends'!N24)</f>
        <v>2825672.0876671853</v>
      </c>
      <c r="O5" s="119">
        <f>N5*(1+'Constants and Trends'!O24)</f>
        <v>2878141.6632794435</v>
      </c>
      <c r="P5" s="119">
        <f>O5*(1+'Constants and Trends'!P24)</f>
        <v>2930856.5762762949</v>
      </c>
      <c r="Q5" s="119">
        <f>P5*(1+'Constants and Trends'!Q24)</f>
        <v>2983703.6874099076</v>
      </c>
      <c r="R5" s="119">
        <f>Q5*(1+'Constants and Trends'!R24)</f>
        <v>3036602.3947361386</v>
      </c>
      <c r="S5" s="119">
        <f>R5*(1+'Constants and Trends'!S24)</f>
        <v>3088494.4852130613</v>
      </c>
      <c r="T5" s="119">
        <f>S5*(1+'Constants and Trends'!T24)</f>
        <v>3140235.8230286492</v>
      </c>
      <c r="U5" s="119">
        <f>T5*(1+'Constants and Trends'!U24)</f>
        <v>3191745.4635504647</v>
      </c>
      <c r="V5" s="119">
        <f>U5*(1+'Constants and Trends'!V24)</f>
        <v>3242975.1759438817</v>
      </c>
      <c r="W5" s="119">
        <f>V5*(1+'Constants and Trends'!W24)</f>
        <v>3293852.2136651468</v>
      </c>
      <c r="X5" s="119">
        <f>W5*(1+'Constants and Trends'!X24)</f>
        <v>3344314.7011080002</v>
      </c>
      <c r="Y5" s="119">
        <f>X5*(1+'Constants and Trends'!Y24)</f>
        <v>3394311.4804121992</v>
      </c>
      <c r="Z5" s="119">
        <f>Y5*(1+'Constants and Trends'!Z24)</f>
        <v>3443808.5470144637</v>
      </c>
      <c r="AA5" s="119">
        <f>Z5*(1+'Constants and Trends'!AA24)</f>
        <v>3492797.8297275766</v>
      </c>
      <c r="AB5" s="119">
        <f>AA5*(1+'Constants and Trends'!AB24)</f>
        <v>3541290.1602256899</v>
      </c>
      <c r="AC5" s="119">
        <f>AB5*(1+'Constants and Trends'!AC24)</f>
        <v>3589316.9129477339</v>
      </c>
      <c r="AD5" s="119">
        <f>AC5*(1+'Constants and Trends'!AD24)</f>
        <v>3636928.0487522515</v>
      </c>
      <c r="AE5" s="119">
        <f>AD5*(1+'Constants and Trends'!AE24)</f>
        <v>3684178.4914324749</v>
      </c>
      <c r="AF5" s="119">
        <f>AE5*(1+'Constants and Trends'!AF24)</f>
        <v>3731130.6767814592</v>
      </c>
      <c r="AG5" s="119">
        <f>AF5*(1+'Constants and Trends'!AG24)</f>
        <v>3777838.8965914757</v>
      </c>
      <c r="AH5" s="119">
        <f>AG5*(1+'Constants and Trends'!AH24)</f>
        <v>3824377.0722255725</v>
      </c>
      <c r="AI5" s="120">
        <f>AH5*(1+'Constants and Trends'!AI24)</f>
        <v>3870816.0161060398</v>
      </c>
      <c r="AK5" s="117"/>
    </row>
    <row r="6" spans="1:251" s="116" customFormat="1">
      <c r="A6" s="333"/>
      <c r="B6" s="335"/>
      <c r="C6" s="121" t="s">
        <v>121</v>
      </c>
      <c r="D6" s="242">
        <f>(B58/B56)</f>
        <v>9.9805589608331167E-3</v>
      </c>
      <c r="E6" s="122">
        <f>D6+($M$57-$B$57)/11</f>
        <v>1.3618689964393743E-2</v>
      </c>
      <c r="F6" s="122">
        <f t="shared" ref="F6:AI6" si="0">E6+($M$57-$B$57)/11</f>
        <v>1.7256820967954369E-2</v>
      </c>
      <c r="G6" s="122">
        <f t="shared" si="0"/>
        <v>2.0894951971514995E-2</v>
      </c>
      <c r="H6" s="122">
        <f t="shared" si="0"/>
        <v>2.4533082975075622E-2</v>
      </c>
      <c r="I6" s="122">
        <f t="shared" si="0"/>
        <v>2.8171213978636249E-2</v>
      </c>
      <c r="J6" s="122">
        <f t="shared" si="0"/>
        <v>3.1809344982196876E-2</v>
      </c>
      <c r="K6" s="122">
        <f t="shared" si="0"/>
        <v>3.5447475985757503E-2</v>
      </c>
      <c r="L6" s="122">
        <f t="shared" si="0"/>
        <v>3.9085606989318129E-2</v>
      </c>
      <c r="M6" s="122">
        <f t="shared" si="0"/>
        <v>4.2723737992878756E-2</v>
      </c>
      <c r="N6" s="122">
        <f t="shared" si="0"/>
        <v>4.6361868996439383E-2</v>
      </c>
      <c r="O6" s="122">
        <f t="shared" si="0"/>
        <v>5.000000000000001E-2</v>
      </c>
      <c r="P6" s="122">
        <f t="shared" si="0"/>
        <v>5.3638131003560637E-2</v>
      </c>
      <c r="Q6" s="122">
        <f t="shared" si="0"/>
        <v>5.7276262007121263E-2</v>
      </c>
      <c r="R6" s="122">
        <f t="shared" si="0"/>
        <v>6.091439301068189E-2</v>
      </c>
      <c r="S6" s="122">
        <f t="shared" si="0"/>
        <v>6.455252401424251E-2</v>
      </c>
      <c r="T6" s="122">
        <f t="shared" si="0"/>
        <v>6.8190655017803137E-2</v>
      </c>
      <c r="U6" s="122">
        <f t="shared" si="0"/>
        <v>7.1828786021363764E-2</v>
      </c>
      <c r="V6" s="122">
        <f t="shared" si="0"/>
        <v>7.546691702492439E-2</v>
      </c>
      <c r="W6" s="122">
        <f t="shared" si="0"/>
        <v>7.9105048028485017E-2</v>
      </c>
      <c r="X6" s="122">
        <f t="shared" si="0"/>
        <v>8.2743179032045644E-2</v>
      </c>
      <c r="Y6" s="122">
        <f t="shared" si="0"/>
        <v>8.6381310035606271E-2</v>
      </c>
      <c r="Z6" s="122">
        <f t="shared" si="0"/>
        <v>9.0019441039166898E-2</v>
      </c>
      <c r="AA6" s="122">
        <f t="shared" si="0"/>
        <v>9.3657572042727524E-2</v>
      </c>
      <c r="AB6" s="122">
        <f t="shared" si="0"/>
        <v>9.7295703046288151E-2</v>
      </c>
      <c r="AC6" s="122">
        <f t="shared" si="0"/>
        <v>0.10093383404984878</v>
      </c>
      <c r="AD6" s="122">
        <f t="shared" si="0"/>
        <v>0.1045719650534094</v>
      </c>
      <c r="AE6" s="122">
        <f t="shared" si="0"/>
        <v>0.10821009605697003</v>
      </c>
      <c r="AF6" s="122">
        <f t="shared" si="0"/>
        <v>0.11184822706053066</v>
      </c>
      <c r="AG6" s="122">
        <f t="shared" si="0"/>
        <v>0.11548635806409129</v>
      </c>
      <c r="AH6" s="122">
        <f t="shared" si="0"/>
        <v>0.11912448906765191</v>
      </c>
      <c r="AI6" s="123">
        <f t="shared" si="0"/>
        <v>0.12276262007121254</v>
      </c>
      <c r="AK6" s="117"/>
    </row>
    <row r="7" spans="1:251" s="116" customFormat="1">
      <c r="A7" s="333"/>
      <c r="B7" s="335"/>
      <c r="C7" s="121" t="s">
        <v>166</v>
      </c>
      <c r="D7" s="122">
        <v>0</v>
      </c>
      <c r="E7" s="122">
        <v>0</v>
      </c>
      <c r="F7" s="122">
        <v>0.05</v>
      </c>
      <c r="G7" s="122">
        <v>0.1</v>
      </c>
      <c r="H7" s="122">
        <v>0.15000000000000002</v>
      </c>
      <c r="I7" s="122">
        <v>0.2</v>
      </c>
      <c r="J7" s="122">
        <v>0.25</v>
      </c>
      <c r="K7" s="122">
        <v>0.3</v>
      </c>
      <c r="L7" s="122">
        <v>0.35</v>
      </c>
      <c r="M7" s="122">
        <v>0.39999999999999997</v>
      </c>
      <c r="N7" s="122">
        <v>0.44999999999999996</v>
      </c>
      <c r="O7" s="122">
        <v>0.49999999999999994</v>
      </c>
      <c r="P7" s="122">
        <v>0.54999999999999993</v>
      </c>
      <c r="Q7" s="122">
        <v>0.6</v>
      </c>
      <c r="R7" s="122">
        <v>0.65</v>
      </c>
      <c r="S7" s="122">
        <v>0.70000000000000007</v>
      </c>
      <c r="T7" s="122">
        <v>0.75000000000000011</v>
      </c>
      <c r="U7" s="122">
        <v>0.80000000000000016</v>
      </c>
      <c r="V7" s="122">
        <v>0.8500000000000002</v>
      </c>
      <c r="W7" s="122">
        <v>0.90000000000000024</v>
      </c>
      <c r="X7" s="122">
        <v>0.95000000000000029</v>
      </c>
      <c r="Y7" s="122">
        <v>1</v>
      </c>
      <c r="Z7" s="122">
        <v>1</v>
      </c>
      <c r="AA7" s="122">
        <v>1</v>
      </c>
      <c r="AB7" s="122">
        <v>1</v>
      </c>
      <c r="AC7" s="122">
        <v>1</v>
      </c>
      <c r="AD7" s="122">
        <v>1</v>
      </c>
      <c r="AE7" s="122">
        <v>1</v>
      </c>
      <c r="AF7" s="122">
        <v>1</v>
      </c>
      <c r="AG7" s="122">
        <v>1</v>
      </c>
      <c r="AH7" s="122">
        <v>1</v>
      </c>
      <c r="AI7" s="123">
        <v>1</v>
      </c>
      <c r="AK7" s="117"/>
    </row>
    <row r="8" spans="1:251" s="116" customFormat="1">
      <c r="A8" s="333"/>
      <c r="B8" s="335"/>
      <c r="C8" s="121" t="s">
        <v>203</v>
      </c>
      <c r="D8" s="122">
        <f>(45387456-(2431995*0.5))/D4</f>
        <v>6.8001909739091357E-2</v>
      </c>
      <c r="E8" s="122">
        <f>D8-(E6-D6)/3</f>
        <v>6.6789199404571148E-2</v>
      </c>
      <c r="F8" s="122">
        <f>E8-(F6-E6)/3</f>
        <v>6.5576489070050939E-2</v>
      </c>
      <c r="G8" s="122">
        <f t="shared" ref="G8:AI8" si="1">F8-(G6-F6)/3</f>
        <v>6.436377873553073E-2</v>
      </c>
      <c r="H8" s="122">
        <f t="shared" si="1"/>
        <v>6.3151068401010521E-2</v>
      </c>
      <c r="I8" s="122">
        <f t="shared" si="1"/>
        <v>6.1938358066490312E-2</v>
      </c>
      <c r="J8" s="122">
        <f t="shared" si="1"/>
        <v>6.0725647731970103E-2</v>
      </c>
      <c r="K8" s="122">
        <f t="shared" si="1"/>
        <v>5.9512937397449894E-2</v>
      </c>
      <c r="L8" s="122">
        <f t="shared" si="1"/>
        <v>5.8300227062929685E-2</v>
      </c>
      <c r="M8" s="122">
        <f t="shared" si="1"/>
        <v>5.7087516728409476E-2</v>
      </c>
      <c r="N8" s="122">
        <f t="shared" si="1"/>
        <v>5.5874806393889268E-2</v>
      </c>
      <c r="O8" s="122">
        <f t="shared" si="1"/>
        <v>5.4662096059369059E-2</v>
      </c>
      <c r="P8" s="122">
        <f t="shared" si="1"/>
        <v>5.344938572484885E-2</v>
      </c>
      <c r="Q8" s="122">
        <f t="shared" si="1"/>
        <v>5.2236675390328641E-2</v>
      </c>
      <c r="R8" s="122">
        <f t="shared" si="1"/>
        <v>5.1023965055808432E-2</v>
      </c>
      <c r="S8" s="122">
        <f t="shared" si="1"/>
        <v>4.9811254721288223E-2</v>
      </c>
      <c r="T8" s="122">
        <f t="shared" si="1"/>
        <v>4.8598544386768014E-2</v>
      </c>
      <c r="U8" s="122">
        <f t="shared" si="1"/>
        <v>4.7385834052247805E-2</v>
      </c>
      <c r="V8" s="122">
        <f t="shared" si="1"/>
        <v>4.6173123717727596E-2</v>
      </c>
      <c r="W8" s="122">
        <f t="shared" si="1"/>
        <v>4.4960413383207387E-2</v>
      </c>
      <c r="X8" s="122">
        <f t="shared" si="1"/>
        <v>4.3747703048687178E-2</v>
      </c>
      <c r="Y8" s="122">
        <f t="shared" si="1"/>
        <v>4.2534992714166969E-2</v>
      </c>
      <c r="Z8" s="122">
        <f t="shared" si="1"/>
        <v>4.132228237964676E-2</v>
      </c>
      <c r="AA8" s="122">
        <f t="shared" si="1"/>
        <v>4.0109572045126551E-2</v>
      </c>
      <c r="AB8" s="122">
        <f t="shared" si="1"/>
        <v>3.8896861710606342E-2</v>
      </c>
      <c r="AC8" s="122">
        <f t="shared" si="1"/>
        <v>3.7684151376086134E-2</v>
      </c>
      <c r="AD8" s="122">
        <f t="shared" si="1"/>
        <v>3.6471441041565925E-2</v>
      </c>
      <c r="AE8" s="122">
        <f t="shared" si="1"/>
        <v>3.5258730707045716E-2</v>
      </c>
      <c r="AF8" s="122">
        <f t="shared" si="1"/>
        <v>3.4046020372525507E-2</v>
      </c>
      <c r="AG8" s="122">
        <f t="shared" si="1"/>
        <v>3.2833310038005298E-2</v>
      </c>
      <c r="AH8" s="122">
        <f t="shared" si="1"/>
        <v>3.1620599703485089E-2</v>
      </c>
      <c r="AI8" s="123">
        <f t="shared" si="1"/>
        <v>3.040788936896488E-2</v>
      </c>
      <c r="AK8" s="124"/>
    </row>
    <row r="9" spans="1:251" s="116" customFormat="1">
      <c r="A9" s="333"/>
      <c r="B9" s="335"/>
      <c r="C9" s="121" t="s">
        <v>167</v>
      </c>
      <c r="D9" s="122">
        <f>(2431995*0.5)/D5</f>
        <v>0.49999989720375715</v>
      </c>
      <c r="E9" s="122">
        <f>D9-(E7-D7)/3</f>
        <v>0.49999989720375715</v>
      </c>
      <c r="F9" s="122">
        <f>E9*(1-(F7/3))</f>
        <v>0.49166656558369448</v>
      </c>
      <c r="G9" s="122">
        <f>F9*(1-(G7/3))</f>
        <v>0.47527768006423798</v>
      </c>
      <c r="H9" s="122">
        <f>G9*(1-(H7/3))</f>
        <v>0.45151379606102604</v>
      </c>
      <c r="I9" s="122">
        <f>H9*(1-(I7/3))</f>
        <v>0.42141287632362429</v>
      </c>
      <c r="J9" s="122">
        <f t="shared" ref="J9:Y9" si="2">I9*(1-(J7/3))</f>
        <v>0.38629513662998893</v>
      </c>
      <c r="K9" s="122">
        <f t="shared" si="2"/>
        <v>0.34766562296699005</v>
      </c>
      <c r="L9" s="122">
        <f t="shared" si="2"/>
        <v>0.30710463362084123</v>
      </c>
      <c r="M9" s="122">
        <f t="shared" si="2"/>
        <v>0.26615734913806238</v>
      </c>
      <c r="N9" s="122">
        <f t="shared" si="2"/>
        <v>0.22623374676735303</v>
      </c>
      <c r="O9" s="122">
        <f t="shared" si="2"/>
        <v>0.18852812230612753</v>
      </c>
      <c r="P9" s="122">
        <f t="shared" si="2"/>
        <v>0.15396463321667081</v>
      </c>
      <c r="Q9" s="122">
        <f t="shared" si="2"/>
        <v>0.12317170657333665</v>
      </c>
      <c r="R9" s="122">
        <f t="shared" si="2"/>
        <v>9.648450348244704E-2</v>
      </c>
      <c r="S9" s="122">
        <f t="shared" si="2"/>
        <v>7.3971452669876064E-2</v>
      </c>
      <c r="T9" s="122">
        <f t="shared" si="2"/>
        <v>5.5478589502407048E-2</v>
      </c>
      <c r="U9" s="122">
        <f t="shared" si="2"/>
        <v>4.0684298968431835E-2</v>
      </c>
      <c r="V9" s="122">
        <f t="shared" si="2"/>
        <v>2.9157080927376143E-2</v>
      </c>
      <c r="W9" s="122">
        <f t="shared" si="2"/>
        <v>2.0409956649163299E-2</v>
      </c>
      <c r="X9" s="122">
        <f t="shared" si="2"/>
        <v>1.3946803710261586E-2</v>
      </c>
      <c r="Y9" s="122">
        <f t="shared" si="2"/>
        <v>9.2978691401743915E-3</v>
      </c>
      <c r="Z9" s="122">
        <v>0</v>
      </c>
      <c r="AA9" s="122">
        <v>0</v>
      </c>
      <c r="AB9" s="122">
        <v>0</v>
      </c>
      <c r="AC9" s="122">
        <v>0</v>
      </c>
      <c r="AD9" s="122">
        <v>0</v>
      </c>
      <c r="AE9" s="122">
        <v>0</v>
      </c>
      <c r="AF9" s="122">
        <v>0</v>
      </c>
      <c r="AG9" s="122">
        <v>0</v>
      </c>
      <c r="AH9" s="122">
        <v>0</v>
      </c>
      <c r="AI9" s="123">
        <v>0</v>
      </c>
      <c r="AK9" s="124"/>
    </row>
    <row r="10" spans="1:251" s="116" customFormat="1">
      <c r="A10" s="333"/>
      <c r="B10" s="335"/>
      <c r="C10" s="121" t="s">
        <v>204</v>
      </c>
      <c r="D10" s="122">
        <f>(545945912-(2188796*0.5))/D4</f>
        <v>0.83879828138876766</v>
      </c>
      <c r="E10" s="122">
        <f>D10-(E6-D6)/3</f>
        <v>0.83758557105424747</v>
      </c>
      <c r="F10" s="122">
        <f t="shared" ref="F10:AI10" si="3">E10-(F6-E6)/3</f>
        <v>0.83637286071972727</v>
      </c>
      <c r="G10" s="122">
        <f t="shared" si="3"/>
        <v>0.83516015038520708</v>
      </c>
      <c r="H10" s="122">
        <f t="shared" si="3"/>
        <v>0.83394744005068688</v>
      </c>
      <c r="I10" s="122">
        <f t="shared" si="3"/>
        <v>0.83273472971616669</v>
      </c>
      <c r="J10" s="122">
        <f t="shared" si="3"/>
        <v>0.83152201938164649</v>
      </c>
      <c r="K10" s="122">
        <f t="shared" si="3"/>
        <v>0.8303093090471263</v>
      </c>
      <c r="L10" s="122">
        <f t="shared" si="3"/>
        <v>0.8290965987126061</v>
      </c>
      <c r="M10" s="122">
        <f t="shared" si="3"/>
        <v>0.82788388837808591</v>
      </c>
      <c r="N10" s="122">
        <f t="shared" si="3"/>
        <v>0.82667117804356571</v>
      </c>
      <c r="O10" s="122">
        <f t="shared" si="3"/>
        <v>0.82545846770904552</v>
      </c>
      <c r="P10" s="122">
        <f t="shared" si="3"/>
        <v>0.82424575737452532</v>
      </c>
      <c r="Q10" s="122">
        <f t="shared" si="3"/>
        <v>0.82303304704000513</v>
      </c>
      <c r="R10" s="122">
        <f t="shared" si="3"/>
        <v>0.82182033670548493</v>
      </c>
      <c r="S10" s="122">
        <f t="shared" si="3"/>
        <v>0.82060762637096474</v>
      </c>
      <c r="T10" s="122">
        <f t="shared" si="3"/>
        <v>0.81939491603644454</v>
      </c>
      <c r="U10" s="122">
        <f t="shared" si="3"/>
        <v>0.81818220570192435</v>
      </c>
      <c r="V10" s="122">
        <f t="shared" si="3"/>
        <v>0.81696949536740415</v>
      </c>
      <c r="W10" s="122">
        <f t="shared" si="3"/>
        <v>0.81575678503288396</v>
      </c>
      <c r="X10" s="122">
        <f t="shared" si="3"/>
        <v>0.81454407469836376</v>
      </c>
      <c r="Y10" s="122">
        <f t="shared" si="3"/>
        <v>0.81333136436384357</v>
      </c>
      <c r="Z10" s="122">
        <f t="shared" si="3"/>
        <v>0.81211865402932337</v>
      </c>
      <c r="AA10" s="122">
        <f t="shared" si="3"/>
        <v>0.81090594369480318</v>
      </c>
      <c r="AB10" s="122">
        <f t="shared" si="3"/>
        <v>0.80969323336028298</v>
      </c>
      <c r="AC10" s="122">
        <f t="shared" si="3"/>
        <v>0.80848052302576279</v>
      </c>
      <c r="AD10" s="122">
        <f t="shared" si="3"/>
        <v>0.80726781269124259</v>
      </c>
      <c r="AE10" s="122">
        <f t="shared" si="3"/>
        <v>0.8060551023567224</v>
      </c>
      <c r="AF10" s="122">
        <f t="shared" si="3"/>
        <v>0.8048423920222022</v>
      </c>
      <c r="AG10" s="122">
        <f t="shared" si="3"/>
        <v>0.80362968168768201</v>
      </c>
      <c r="AH10" s="122">
        <f t="shared" si="3"/>
        <v>0.80241697135316181</v>
      </c>
      <c r="AI10" s="123">
        <f t="shared" si="3"/>
        <v>0.80120426101864162</v>
      </c>
      <c r="AK10" s="124"/>
    </row>
    <row r="11" spans="1:251" s="116" customFormat="1">
      <c r="A11" s="333"/>
      <c r="B11" s="335"/>
      <c r="C11" s="121" t="s">
        <v>168</v>
      </c>
      <c r="D11" s="122">
        <f>(2188796*0.5)/D5</f>
        <v>0.45000001027962427</v>
      </c>
      <c r="E11" s="122">
        <f>D11-(E7-D7)/3</f>
        <v>0.45000001027962427</v>
      </c>
      <c r="F11" s="122">
        <f>E11*(1-(F7/3))</f>
        <v>0.4425000101082972</v>
      </c>
      <c r="G11" s="122">
        <f>F11*(1-(G7/3))</f>
        <v>0.42775000977135397</v>
      </c>
      <c r="H11" s="122">
        <f>G11*(1-(H7/3))</f>
        <v>0.40636250928278628</v>
      </c>
      <c r="I11" s="122">
        <f>H11*(1-(I7/3))</f>
        <v>0.37927167533060052</v>
      </c>
      <c r="J11" s="122">
        <f t="shared" ref="J11:Y11" si="4">I11*(1-(J7/3))</f>
        <v>0.34766570238638378</v>
      </c>
      <c r="K11" s="122">
        <f t="shared" si="4"/>
        <v>0.3128991321477454</v>
      </c>
      <c r="L11" s="122">
        <f t="shared" si="4"/>
        <v>0.27639423339717512</v>
      </c>
      <c r="M11" s="122">
        <f t="shared" si="4"/>
        <v>0.23954166894421844</v>
      </c>
      <c r="N11" s="122">
        <f t="shared" si="4"/>
        <v>0.20361041860258566</v>
      </c>
      <c r="O11" s="122">
        <f t="shared" si="4"/>
        <v>0.16967534883548807</v>
      </c>
      <c r="P11" s="122">
        <f t="shared" si="4"/>
        <v>0.13856820154898192</v>
      </c>
      <c r="Q11" s="122">
        <f t="shared" si="4"/>
        <v>0.11085456123918554</v>
      </c>
      <c r="R11" s="122">
        <f t="shared" si="4"/>
        <v>8.683607297069533E-2</v>
      </c>
      <c r="S11" s="122">
        <f t="shared" si="4"/>
        <v>6.6574322610866418E-2</v>
      </c>
      <c r="T11" s="122">
        <f t="shared" si="4"/>
        <v>4.993074195814981E-2</v>
      </c>
      <c r="U11" s="122">
        <f t="shared" si="4"/>
        <v>3.6615877435976524E-2</v>
      </c>
      <c r="V11" s="122">
        <f t="shared" si="4"/>
        <v>2.6241378829116504E-2</v>
      </c>
      <c r="W11" s="122">
        <f t="shared" si="4"/>
        <v>1.8368965180381551E-2</v>
      </c>
      <c r="X11" s="122">
        <f t="shared" si="4"/>
        <v>1.2552126206594058E-2</v>
      </c>
      <c r="Y11" s="122">
        <f t="shared" si="4"/>
        <v>8.3680841377293726E-3</v>
      </c>
      <c r="Z11" s="122">
        <v>0</v>
      </c>
      <c r="AA11" s="122">
        <v>0</v>
      </c>
      <c r="AB11" s="122">
        <v>0</v>
      </c>
      <c r="AC11" s="122">
        <v>0</v>
      </c>
      <c r="AD11" s="122">
        <v>0</v>
      </c>
      <c r="AE11" s="122">
        <v>0</v>
      </c>
      <c r="AF11" s="122">
        <v>0</v>
      </c>
      <c r="AG11" s="122">
        <v>0</v>
      </c>
      <c r="AH11" s="122">
        <v>0</v>
      </c>
      <c r="AI11" s="123">
        <v>0</v>
      </c>
      <c r="AK11" s="124"/>
    </row>
    <row r="12" spans="1:251" s="116" customFormat="1">
      <c r="A12" s="333"/>
      <c r="B12" s="335"/>
      <c r="C12" s="121" t="s">
        <v>205</v>
      </c>
      <c r="D12" s="122">
        <f>(60660657-(243200*0.5))/D4</f>
        <v>9.319980887214098E-2</v>
      </c>
      <c r="E12" s="122">
        <f>D12-(E6-D6)/3</f>
        <v>9.1987098537620771E-2</v>
      </c>
      <c r="F12" s="122">
        <f t="shared" ref="F12:AI12" si="5">E12-(F6-E6)/3</f>
        <v>9.0774388203100562E-2</v>
      </c>
      <c r="G12" s="122">
        <f t="shared" si="5"/>
        <v>8.9561677868580353E-2</v>
      </c>
      <c r="H12" s="122">
        <f t="shared" si="5"/>
        <v>8.8348967534060144E-2</v>
      </c>
      <c r="I12" s="122">
        <f t="shared" si="5"/>
        <v>8.7136257199539935E-2</v>
      </c>
      <c r="J12" s="122">
        <f t="shared" si="5"/>
        <v>8.5923546865019726E-2</v>
      </c>
      <c r="K12" s="122">
        <f t="shared" si="5"/>
        <v>8.4710836530499517E-2</v>
      </c>
      <c r="L12" s="122">
        <f t="shared" si="5"/>
        <v>8.3498126195979308E-2</v>
      </c>
      <c r="M12" s="122">
        <f t="shared" si="5"/>
        <v>8.2285415861459099E-2</v>
      </c>
      <c r="N12" s="122">
        <f t="shared" si="5"/>
        <v>8.107270552693889E-2</v>
      </c>
      <c r="O12" s="122">
        <f t="shared" si="5"/>
        <v>7.9859995192418681E-2</v>
      </c>
      <c r="P12" s="122">
        <f t="shared" si="5"/>
        <v>7.8647284857898472E-2</v>
      </c>
      <c r="Q12" s="122">
        <f t="shared" si="5"/>
        <v>7.7434574523378263E-2</v>
      </c>
      <c r="R12" s="122">
        <f t="shared" si="5"/>
        <v>7.6221864188858054E-2</v>
      </c>
      <c r="S12" s="122">
        <f t="shared" si="5"/>
        <v>7.5009153854337846E-2</v>
      </c>
      <c r="T12" s="122">
        <f t="shared" si="5"/>
        <v>7.3796443519817637E-2</v>
      </c>
      <c r="U12" s="122">
        <f t="shared" si="5"/>
        <v>7.2583733185297428E-2</v>
      </c>
      <c r="V12" s="122">
        <f t="shared" si="5"/>
        <v>7.1371022850777219E-2</v>
      </c>
      <c r="W12" s="122">
        <f t="shared" si="5"/>
        <v>7.015831251625701E-2</v>
      </c>
      <c r="X12" s="122">
        <f t="shared" si="5"/>
        <v>6.8945602181736801E-2</v>
      </c>
      <c r="Y12" s="122">
        <f t="shared" si="5"/>
        <v>6.7732891847216592E-2</v>
      </c>
      <c r="Z12" s="122">
        <f t="shared" si="5"/>
        <v>6.6520181512696383E-2</v>
      </c>
      <c r="AA12" s="122">
        <f t="shared" si="5"/>
        <v>6.5307471178176174E-2</v>
      </c>
      <c r="AB12" s="122">
        <f t="shared" si="5"/>
        <v>6.4094760843655965E-2</v>
      </c>
      <c r="AC12" s="122">
        <f t="shared" si="5"/>
        <v>6.2882050509135756E-2</v>
      </c>
      <c r="AD12" s="122">
        <f t="shared" si="5"/>
        <v>6.1669340174615547E-2</v>
      </c>
      <c r="AE12" s="122">
        <f t="shared" si="5"/>
        <v>6.0456629840095338E-2</v>
      </c>
      <c r="AF12" s="122">
        <f t="shared" si="5"/>
        <v>5.9243919505575129E-2</v>
      </c>
      <c r="AG12" s="122">
        <f t="shared" si="5"/>
        <v>5.803120917105492E-2</v>
      </c>
      <c r="AH12" s="122">
        <f t="shared" si="5"/>
        <v>5.6818498836534712E-2</v>
      </c>
      <c r="AI12" s="123">
        <f t="shared" si="5"/>
        <v>5.5605788502014503E-2</v>
      </c>
      <c r="AK12" s="124"/>
    </row>
    <row r="13" spans="1:251" s="116" customFormat="1">
      <c r="A13" s="333"/>
      <c r="B13" s="335"/>
      <c r="C13" s="121" t="s">
        <v>169</v>
      </c>
      <c r="D13" s="122">
        <f>(243200*0.5)/D5</f>
        <v>5.0000092516618556E-2</v>
      </c>
      <c r="E13" s="122">
        <f>D13-(E7-D7)/3</f>
        <v>5.0000092516618556E-2</v>
      </c>
      <c r="F13" s="122">
        <f>E13*(1-(F7/3))</f>
        <v>4.9166757641341576E-2</v>
      </c>
      <c r="G13" s="122">
        <f>F13*(1-(G7/3))</f>
        <v>4.7527865719963522E-2</v>
      </c>
      <c r="H13" s="122">
        <f>G13*(1-(H7/3))</f>
        <v>4.5151472433965341E-2</v>
      </c>
      <c r="I13" s="122">
        <f>H13*(1-(I7/3))</f>
        <v>4.2141374271700983E-2</v>
      </c>
      <c r="J13" s="122">
        <f t="shared" ref="J13:Y13" si="6">I13*(1-(J7/3))</f>
        <v>3.8629593082392569E-2</v>
      </c>
      <c r="K13" s="122">
        <f t="shared" si="6"/>
        <v>3.4766633774153316E-2</v>
      </c>
      <c r="L13" s="122">
        <f t="shared" si="6"/>
        <v>3.0710526500502097E-2</v>
      </c>
      <c r="M13" s="122">
        <f t="shared" si="6"/>
        <v>2.6615789633768483E-2</v>
      </c>
      <c r="N13" s="122">
        <f t="shared" si="6"/>
        <v>2.2623421188703211E-2</v>
      </c>
      <c r="O13" s="122">
        <f t="shared" si="6"/>
        <v>1.885285099058601E-2</v>
      </c>
      <c r="P13" s="122">
        <f t="shared" si="6"/>
        <v>1.5396494975645242E-2</v>
      </c>
      <c r="Q13" s="122">
        <f t="shared" si="6"/>
        <v>1.2317195980516194E-2</v>
      </c>
      <c r="R13" s="122">
        <f t="shared" si="6"/>
        <v>9.6484701847376845E-3</v>
      </c>
      <c r="S13" s="122">
        <f t="shared" si="6"/>
        <v>7.3971604749655572E-3</v>
      </c>
      <c r="T13" s="122">
        <f t="shared" si="6"/>
        <v>5.5478703562241681E-3</v>
      </c>
      <c r="U13" s="122">
        <f t="shared" si="6"/>
        <v>4.0684382612310565E-3</v>
      </c>
      <c r="V13" s="122">
        <f t="shared" si="6"/>
        <v>2.91571408721559E-3</v>
      </c>
      <c r="W13" s="122">
        <f t="shared" si="6"/>
        <v>2.0409998610509128E-3</v>
      </c>
      <c r="X13" s="122">
        <f t="shared" si="6"/>
        <v>1.3946832383847903E-3</v>
      </c>
      <c r="Y13" s="122">
        <f t="shared" si="6"/>
        <v>9.2978882558986033E-4</v>
      </c>
      <c r="Z13" s="122">
        <v>0</v>
      </c>
      <c r="AA13" s="122">
        <v>0</v>
      </c>
      <c r="AB13" s="122">
        <v>0</v>
      </c>
      <c r="AC13" s="122">
        <v>0</v>
      </c>
      <c r="AD13" s="122">
        <v>0</v>
      </c>
      <c r="AE13" s="122">
        <v>0</v>
      </c>
      <c r="AF13" s="122">
        <v>0</v>
      </c>
      <c r="AG13" s="122">
        <v>0</v>
      </c>
      <c r="AH13" s="122">
        <v>0</v>
      </c>
      <c r="AI13" s="123">
        <v>0</v>
      </c>
      <c r="AK13" s="124"/>
    </row>
    <row r="14" spans="1:251" s="116" customFormat="1">
      <c r="A14" s="333"/>
      <c r="B14" s="335"/>
      <c r="C14" s="125" t="s">
        <v>165</v>
      </c>
      <c r="D14" s="126">
        <f>D6*D4*B59</f>
        <v>2134400.4872409822</v>
      </c>
      <c r="E14" s="126">
        <f>E6*E4*C59</f>
        <v>2897019.4549648371</v>
      </c>
      <c r="F14" s="126">
        <f t="shared" ref="F14:AI14" si="7">F6*F4*D59</f>
        <v>3651056.5551800174</v>
      </c>
      <c r="G14" s="126">
        <f t="shared" si="7"/>
        <v>4396573.829862847</v>
      </c>
      <c r="H14" s="126">
        <f t="shared" si="7"/>
        <v>5131720.3279351341</v>
      </c>
      <c r="I14" s="126">
        <f t="shared" si="7"/>
        <v>5872323.7275239062</v>
      </c>
      <c r="J14" s="126">
        <f t="shared" si="7"/>
        <v>6611025.7735649422</v>
      </c>
      <c r="K14" s="126">
        <f t="shared" si="7"/>
        <v>7370196.893848408</v>
      </c>
      <c r="L14" s="126">
        <f t="shared" si="7"/>
        <v>8130238.2671779385</v>
      </c>
      <c r="M14" s="126">
        <f t="shared" si="7"/>
        <v>8885902.8494246546</v>
      </c>
      <c r="N14" s="126">
        <f t="shared" si="7"/>
        <v>9635632.6480732244</v>
      </c>
      <c r="O14" s="126">
        <f t="shared" si="7"/>
        <v>10377764.181653326</v>
      </c>
      <c r="P14" s="126">
        <f t="shared" si="7"/>
        <v>11252806.7386817</v>
      </c>
      <c r="Q14" s="126">
        <f t="shared" si="7"/>
        <v>12141430.487541571</v>
      </c>
      <c r="R14" s="126">
        <f t="shared" si="7"/>
        <v>13042764.150158398</v>
      </c>
      <c r="S14" s="126">
        <f t="shared" si="7"/>
        <v>13951445.679313665</v>
      </c>
      <c r="T14" s="126">
        <f t="shared" si="7"/>
        <v>14870252.287416395</v>
      </c>
      <c r="U14" s="126">
        <f t="shared" si="7"/>
        <v>15798081.329799984</v>
      </c>
      <c r="V14" s="126">
        <f t="shared" si="7"/>
        <v>16733934.363433827</v>
      </c>
      <c r="W14" s="126">
        <f t="shared" si="7"/>
        <v>17676646.944855802</v>
      </c>
      <c r="X14" s="126">
        <f t="shared" si="7"/>
        <v>18625062.7429705</v>
      </c>
      <c r="Y14" s="126">
        <f t="shared" si="7"/>
        <v>19578046.284763817</v>
      </c>
      <c r="Z14" s="126">
        <f t="shared" si="7"/>
        <v>20617334.716111761</v>
      </c>
      <c r="AA14" s="126">
        <f t="shared" si="7"/>
        <v>21668352.268771991</v>
      </c>
      <c r="AB14" s="126">
        <f t="shared" si="7"/>
        <v>22730552.371604457</v>
      </c>
      <c r="AC14" s="126">
        <f t="shared" si="7"/>
        <v>23803539.840379309</v>
      </c>
      <c r="AD14" s="126">
        <f t="shared" si="7"/>
        <v>24887078.964169707</v>
      </c>
      <c r="AE14" s="126">
        <f t="shared" si="7"/>
        <v>25981016.260412011</v>
      </c>
      <c r="AF14" s="126">
        <f t="shared" si="7"/>
        <v>27085303.150503512</v>
      </c>
      <c r="AG14" s="126">
        <f t="shared" si="7"/>
        <v>28199885.737644758</v>
      </c>
      <c r="AH14" s="126">
        <f t="shared" si="7"/>
        <v>29324908.27831674</v>
      </c>
      <c r="AI14" s="127">
        <f t="shared" si="7"/>
        <v>30460552.957652476</v>
      </c>
      <c r="AK14" s="117"/>
    </row>
    <row r="15" spans="1:251" s="116" customFormat="1">
      <c r="A15" s="333"/>
      <c r="B15" s="335"/>
      <c r="C15" s="125" t="s">
        <v>170</v>
      </c>
      <c r="D15" s="126">
        <f>D7*D5*B59</f>
        <v>0</v>
      </c>
      <c r="E15" s="126">
        <f t="shared" ref="E15:AI15" si="8">E7*E5*C59</f>
        <v>0</v>
      </c>
      <c r="F15" s="126">
        <f t="shared" si="8"/>
        <v>39606.813925976501</v>
      </c>
      <c r="G15" s="126">
        <f t="shared" si="8"/>
        <v>78779.846491056873</v>
      </c>
      <c r="H15" s="126">
        <f t="shared" si="8"/>
        <v>117474.67391291888</v>
      </c>
      <c r="I15" s="126">
        <f t="shared" si="8"/>
        <v>156090.53150719477</v>
      </c>
      <c r="J15" s="126">
        <f t="shared" si="8"/>
        <v>194534.33723957965</v>
      </c>
      <c r="K15" s="126">
        <f t="shared" si="8"/>
        <v>233537.78932246365</v>
      </c>
      <c r="L15" s="126">
        <f t="shared" si="8"/>
        <v>272581.63602408656</v>
      </c>
      <c r="M15" s="126">
        <f t="shared" si="8"/>
        <v>311483.06963294209</v>
      </c>
      <c r="N15" s="126">
        <f t="shared" si="8"/>
        <v>350165.97947937209</v>
      </c>
      <c r="O15" s="126">
        <f t="shared" si="8"/>
        <v>388549.12454272487</v>
      </c>
      <c r="P15" s="126">
        <f t="shared" si="8"/>
        <v>432008.25934312586</v>
      </c>
      <c r="Q15" s="126">
        <f t="shared" si="8"/>
        <v>476199.1085106213</v>
      </c>
      <c r="R15" s="126">
        <f t="shared" si="8"/>
        <v>521080.97093672142</v>
      </c>
      <c r="S15" s="126">
        <f t="shared" si="8"/>
        <v>566429.88858807553</v>
      </c>
      <c r="T15" s="126">
        <f t="shared" si="8"/>
        <v>612345.98549058673</v>
      </c>
      <c r="U15" s="126">
        <f t="shared" si="8"/>
        <v>658776.26367681602</v>
      </c>
      <c r="V15" s="126">
        <f t="shared" si="8"/>
        <v>705671.39828538883</v>
      </c>
      <c r="W15" s="126">
        <f t="shared" si="8"/>
        <v>752974.61604385276</v>
      </c>
      <c r="X15" s="126">
        <f t="shared" si="8"/>
        <v>800628.93944525544</v>
      </c>
      <c r="Y15" s="126">
        <f t="shared" si="8"/>
        <v>848577.87010304979</v>
      </c>
      <c r="Z15" s="126">
        <f t="shared" si="8"/>
        <v>857508.32820660144</v>
      </c>
      <c r="AA15" s="126">
        <f t="shared" si="8"/>
        <v>866213.86177243898</v>
      </c>
      <c r="AB15" s="126">
        <f t="shared" si="8"/>
        <v>874698.66957574536</v>
      </c>
      <c r="AC15" s="126">
        <f t="shared" si="8"/>
        <v>882971.96058514249</v>
      </c>
      <c r="AD15" s="126">
        <f t="shared" si="8"/>
        <v>891047.37194430165</v>
      </c>
      <c r="AE15" s="126">
        <f t="shared" si="8"/>
        <v>898939.5519095239</v>
      </c>
      <c r="AF15" s="126">
        <f t="shared" si="8"/>
        <v>906664.7544578946</v>
      </c>
      <c r="AG15" s="126">
        <f t="shared" si="8"/>
        <v>914237.0129751371</v>
      </c>
      <c r="AH15" s="126">
        <f t="shared" si="8"/>
        <v>921674.874406363</v>
      </c>
      <c r="AI15" s="127">
        <f t="shared" si="8"/>
        <v>928995.84386544954</v>
      </c>
      <c r="AK15" s="117"/>
    </row>
    <row r="16" spans="1:251" s="116" customFormat="1">
      <c r="A16" s="333"/>
      <c r="B16" s="335"/>
      <c r="C16" s="125" t="s">
        <v>206</v>
      </c>
      <c r="D16" s="126">
        <v>12.821999999999999</v>
      </c>
      <c r="E16" s="128">
        <f t="shared" ref="E16:AI16" si="9">D16*(1+C67)</f>
        <v>13.111388140414375</v>
      </c>
      <c r="F16" s="128">
        <f t="shared" si="9"/>
        <v>13.43444373115226</v>
      </c>
      <c r="G16" s="128">
        <f t="shared" si="9"/>
        <v>13.788591545807188</v>
      </c>
      <c r="H16" s="128">
        <f t="shared" si="9"/>
        <v>14.179270654234902</v>
      </c>
      <c r="I16" s="128">
        <f t="shared" si="9"/>
        <v>14.594582410425389</v>
      </c>
      <c r="J16" s="128">
        <f t="shared" si="9"/>
        <v>15.044771630277342</v>
      </c>
      <c r="K16" s="128">
        <f t="shared" si="9"/>
        <v>15.488570977713668</v>
      </c>
      <c r="L16" s="128">
        <f t="shared" si="9"/>
        <v>15.926896947985389</v>
      </c>
      <c r="M16" s="128">
        <f t="shared" si="9"/>
        <v>16.351092118929255</v>
      </c>
      <c r="N16" s="128">
        <f t="shared" si="9"/>
        <v>16.756692728470025</v>
      </c>
      <c r="O16" s="128">
        <f t="shared" si="9"/>
        <v>17.143737440400216</v>
      </c>
      <c r="P16" s="128">
        <f t="shared" si="9"/>
        <v>17.510239153608143</v>
      </c>
      <c r="Q16" s="128">
        <f t="shared" si="9"/>
        <v>17.85514468816779</v>
      </c>
      <c r="R16" s="128">
        <f t="shared" si="9"/>
        <v>18.178399043472893</v>
      </c>
      <c r="S16" s="128">
        <f t="shared" si="9"/>
        <v>18.480459650308273</v>
      </c>
      <c r="T16" s="128">
        <f t="shared" si="9"/>
        <v>18.758003600758453</v>
      </c>
      <c r="U16" s="128">
        <f t="shared" si="9"/>
        <v>19.011619020118207</v>
      </c>
      <c r="V16" s="128">
        <f t="shared" si="9"/>
        <v>19.240316986595587</v>
      </c>
      <c r="W16" s="128">
        <f t="shared" si="9"/>
        <v>19.446089502346414</v>
      </c>
      <c r="X16" s="128">
        <f t="shared" si="9"/>
        <v>19.628965429074956</v>
      </c>
      <c r="Y16" s="128">
        <f t="shared" si="9"/>
        <v>19.791498210769362</v>
      </c>
      <c r="Z16" s="128">
        <f t="shared" si="9"/>
        <v>20.028996189298596</v>
      </c>
      <c r="AA16" s="128">
        <f t="shared" si="9"/>
        <v>20.26934414357018</v>
      </c>
      <c r="AB16" s="128">
        <f t="shared" si="9"/>
        <v>20.512576273293021</v>
      </c>
      <c r="AC16" s="128">
        <f t="shared" si="9"/>
        <v>20.758727188572539</v>
      </c>
      <c r="AD16" s="128">
        <f t="shared" si="9"/>
        <v>21.00783191483541</v>
      </c>
      <c r="AE16" s="128">
        <f t="shared" si="9"/>
        <v>21.259925897813435</v>
      </c>
      <c r="AF16" s="128">
        <f t="shared" si="9"/>
        <v>21.515045008587197</v>
      </c>
      <c r="AG16" s="128">
        <f t="shared" si="9"/>
        <v>21.773225548690245</v>
      </c>
      <c r="AH16" s="128">
        <f t="shared" si="9"/>
        <v>22.034504255274527</v>
      </c>
      <c r="AI16" s="129">
        <f t="shared" si="9"/>
        <v>22.298918306337821</v>
      </c>
      <c r="AK16" s="117"/>
    </row>
    <row r="17" spans="1:37" s="116" customFormat="1">
      <c r="A17" s="333"/>
      <c r="B17" s="335"/>
      <c r="C17" s="125" t="s">
        <v>171</v>
      </c>
      <c r="D17" s="126">
        <v>7.07</v>
      </c>
      <c r="E17" s="130">
        <v>7.07</v>
      </c>
      <c r="F17" s="130">
        <v>7.07</v>
      </c>
      <c r="G17" s="130">
        <v>7.07</v>
      </c>
      <c r="H17" s="130">
        <v>7.07</v>
      </c>
      <c r="I17" s="130">
        <v>7.07</v>
      </c>
      <c r="J17" s="130">
        <v>7.07</v>
      </c>
      <c r="K17" s="130">
        <v>7.07</v>
      </c>
      <c r="L17" s="130">
        <v>7.07</v>
      </c>
      <c r="M17" s="130">
        <v>7.07</v>
      </c>
      <c r="N17" s="130">
        <v>7.07</v>
      </c>
      <c r="O17" s="130">
        <v>7.07</v>
      </c>
      <c r="P17" s="130">
        <v>7.07</v>
      </c>
      <c r="Q17" s="130">
        <v>7.07</v>
      </c>
      <c r="R17" s="130">
        <v>7.07</v>
      </c>
      <c r="S17" s="130">
        <v>7.07</v>
      </c>
      <c r="T17" s="130">
        <v>7.07</v>
      </c>
      <c r="U17" s="130">
        <v>7.07</v>
      </c>
      <c r="V17" s="130">
        <v>7.07</v>
      </c>
      <c r="W17" s="130">
        <v>7.07</v>
      </c>
      <c r="X17" s="130">
        <v>7.07</v>
      </c>
      <c r="Y17" s="130">
        <v>7.07</v>
      </c>
      <c r="Z17" s="130">
        <v>7.07</v>
      </c>
      <c r="AA17" s="130">
        <v>7.07</v>
      </c>
      <c r="AB17" s="130">
        <v>7.07</v>
      </c>
      <c r="AC17" s="130">
        <v>7.07</v>
      </c>
      <c r="AD17" s="130">
        <v>7.07</v>
      </c>
      <c r="AE17" s="130">
        <v>7.07</v>
      </c>
      <c r="AF17" s="130">
        <v>7.07</v>
      </c>
      <c r="AG17" s="130">
        <v>7.07</v>
      </c>
      <c r="AH17" s="130">
        <v>7.07</v>
      </c>
      <c r="AI17" s="131">
        <v>7.07</v>
      </c>
      <c r="AK17" s="117"/>
    </row>
    <row r="18" spans="1:37" s="116" customFormat="1">
      <c r="A18" s="333"/>
      <c r="B18" s="335"/>
      <c r="C18" s="125" t="s">
        <v>207</v>
      </c>
      <c r="D18" s="126">
        <v>21.024999999999999</v>
      </c>
      <c r="E18" s="128">
        <f t="shared" ref="E18:AI18" si="10">D18*(1+C67)</f>
        <v>21.499527035736406</v>
      </c>
      <c r="F18" s="128">
        <f t="shared" si="10"/>
        <v>22.029260602673236</v>
      </c>
      <c r="G18" s="128">
        <f t="shared" si="10"/>
        <v>22.609977948104515</v>
      </c>
      <c r="H18" s="128">
        <f t="shared" si="10"/>
        <v>23.250597840063076</v>
      </c>
      <c r="I18" s="128">
        <f t="shared" si="10"/>
        <v>23.931609357291666</v>
      </c>
      <c r="J18" s="128">
        <f t="shared" si="10"/>
        <v>24.669811536935036</v>
      </c>
      <c r="K18" s="128">
        <f t="shared" si="10"/>
        <v>25.397535860741677</v>
      </c>
      <c r="L18" s="128">
        <f t="shared" si="10"/>
        <v>26.116285160769984</v>
      </c>
      <c r="M18" s="128">
        <f t="shared" si="10"/>
        <v>26.811863344290085</v>
      </c>
      <c r="N18" s="128">
        <f t="shared" si="10"/>
        <v>27.476950913748411</v>
      </c>
      <c r="O18" s="128">
        <f t="shared" si="10"/>
        <v>28.11161126847718</v>
      </c>
      <c r="P18" s="128">
        <f t="shared" si="10"/>
        <v>28.712586039979026</v>
      </c>
      <c r="Q18" s="128">
        <f t="shared" si="10"/>
        <v>29.278148266161882</v>
      </c>
      <c r="R18" s="128">
        <f t="shared" si="10"/>
        <v>29.808207759243285</v>
      </c>
      <c r="S18" s="128">
        <f t="shared" si="10"/>
        <v>30.30351459582992</v>
      </c>
      <c r="T18" s="128">
        <f t="shared" si="10"/>
        <v>30.758620005143214</v>
      </c>
      <c r="U18" s="128">
        <f t="shared" si="10"/>
        <v>31.17448837139176</v>
      </c>
      <c r="V18" s="128">
        <f t="shared" si="10"/>
        <v>31.54949810038778</v>
      </c>
      <c r="W18" s="128">
        <f t="shared" si="10"/>
        <v>31.886915597163721</v>
      </c>
      <c r="X18" s="128">
        <f t="shared" si="10"/>
        <v>32.186788187981662</v>
      </c>
      <c r="Y18" s="128">
        <f t="shared" si="10"/>
        <v>32.453302907613931</v>
      </c>
      <c r="Z18" s="128">
        <f t="shared" si="10"/>
        <v>32.842742542505299</v>
      </c>
      <c r="AA18" s="128">
        <f t="shared" si="10"/>
        <v>33.236855453015366</v>
      </c>
      <c r="AB18" s="128">
        <f t="shared" si="10"/>
        <v>33.635697718451553</v>
      </c>
      <c r="AC18" s="128">
        <f t="shared" si="10"/>
        <v>34.039326091072972</v>
      </c>
      <c r="AD18" s="128">
        <f t="shared" si="10"/>
        <v>34.447798004165847</v>
      </c>
      <c r="AE18" s="128">
        <f t="shared" si="10"/>
        <v>34.861171580215839</v>
      </c>
      <c r="AF18" s="128">
        <f t="shared" si="10"/>
        <v>35.279505639178431</v>
      </c>
      <c r="AG18" s="128">
        <f t="shared" si="10"/>
        <v>35.702859706848571</v>
      </c>
      <c r="AH18" s="128">
        <f t="shared" si="10"/>
        <v>36.131294023330753</v>
      </c>
      <c r="AI18" s="129">
        <f t="shared" si="10"/>
        <v>36.56486955161072</v>
      </c>
      <c r="AK18" s="117"/>
    </row>
    <row r="19" spans="1:37" s="116" customFormat="1">
      <c r="A19" s="333"/>
      <c r="B19" s="335"/>
      <c r="C19" s="125" t="s">
        <v>172</v>
      </c>
      <c r="D19" s="126">
        <v>7.07</v>
      </c>
      <c r="E19" s="128">
        <v>7.07</v>
      </c>
      <c r="F19" s="128">
        <v>7.07</v>
      </c>
      <c r="G19" s="128">
        <v>7.07</v>
      </c>
      <c r="H19" s="128">
        <v>7.07</v>
      </c>
      <c r="I19" s="128">
        <v>7.07</v>
      </c>
      <c r="J19" s="128">
        <v>7.07</v>
      </c>
      <c r="K19" s="128">
        <v>7.07</v>
      </c>
      <c r="L19" s="128">
        <v>7.07</v>
      </c>
      <c r="M19" s="128">
        <v>7.07</v>
      </c>
      <c r="N19" s="128">
        <v>7.07</v>
      </c>
      <c r="O19" s="128">
        <v>7.07</v>
      </c>
      <c r="P19" s="128">
        <v>7.07</v>
      </c>
      <c r="Q19" s="128">
        <v>7.07</v>
      </c>
      <c r="R19" s="128">
        <v>7.07</v>
      </c>
      <c r="S19" s="128">
        <v>7.07</v>
      </c>
      <c r="T19" s="128">
        <v>7.07</v>
      </c>
      <c r="U19" s="128">
        <v>7.07</v>
      </c>
      <c r="V19" s="128">
        <v>7.07</v>
      </c>
      <c r="W19" s="128">
        <v>7.07</v>
      </c>
      <c r="X19" s="128">
        <v>7.07</v>
      </c>
      <c r="Y19" s="128">
        <v>7.07</v>
      </c>
      <c r="Z19" s="128">
        <v>7.07</v>
      </c>
      <c r="AA19" s="128">
        <v>7.07</v>
      </c>
      <c r="AB19" s="128">
        <v>7.07</v>
      </c>
      <c r="AC19" s="128">
        <v>7.07</v>
      </c>
      <c r="AD19" s="128">
        <v>7.07</v>
      </c>
      <c r="AE19" s="128">
        <v>7.07</v>
      </c>
      <c r="AF19" s="128">
        <v>7.07</v>
      </c>
      <c r="AG19" s="128">
        <v>7.07</v>
      </c>
      <c r="AH19" s="128">
        <v>7.07</v>
      </c>
      <c r="AI19" s="129">
        <v>7.07</v>
      </c>
      <c r="AK19" s="117"/>
    </row>
    <row r="20" spans="1:37" s="116" customFormat="1">
      <c r="A20" s="333"/>
      <c r="B20" s="335"/>
      <c r="C20" s="125" t="s">
        <v>208</v>
      </c>
      <c r="D20" s="126">
        <v>21.024999999999999</v>
      </c>
      <c r="E20" s="128">
        <f t="shared" ref="E20:AI20" si="11">D20*(1+C67)</f>
        <v>21.499527035736406</v>
      </c>
      <c r="F20" s="128">
        <f t="shared" si="11"/>
        <v>22.029260602673236</v>
      </c>
      <c r="G20" s="128">
        <f t="shared" si="11"/>
        <v>22.609977948104515</v>
      </c>
      <c r="H20" s="128">
        <f t="shared" si="11"/>
        <v>23.250597840063076</v>
      </c>
      <c r="I20" s="128">
        <f t="shared" si="11"/>
        <v>23.931609357291666</v>
      </c>
      <c r="J20" s="128">
        <f t="shared" si="11"/>
        <v>24.669811536935036</v>
      </c>
      <c r="K20" s="128">
        <f t="shared" si="11"/>
        <v>25.397535860741677</v>
      </c>
      <c r="L20" s="128">
        <f t="shared" si="11"/>
        <v>26.116285160769984</v>
      </c>
      <c r="M20" s="128">
        <f t="shared" si="11"/>
        <v>26.811863344290085</v>
      </c>
      <c r="N20" s="128">
        <f t="shared" si="11"/>
        <v>27.476950913748411</v>
      </c>
      <c r="O20" s="128">
        <f t="shared" si="11"/>
        <v>28.11161126847718</v>
      </c>
      <c r="P20" s="128">
        <f t="shared" si="11"/>
        <v>28.712586039979026</v>
      </c>
      <c r="Q20" s="128">
        <f t="shared" si="11"/>
        <v>29.278148266161882</v>
      </c>
      <c r="R20" s="128">
        <f t="shared" si="11"/>
        <v>29.808207759243285</v>
      </c>
      <c r="S20" s="128">
        <f t="shared" si="11"/>
        <v>30.30351459582992</v>
      </c>
      <c r="T20" s="128">
        <f t="shared" si="11"/>
        <v>30.758620005143214</v>
      </c>
      <c r="U20" s="128">
        <f t="shared" si="11"/>
        <v>31.17448837139176</v>
      </c>
      <c r="V20" s="128">
        <f t="shared" si="11"/>
        <v>31.54949810038778</v>
      </c>
      <c r="W20" s="128">
        <f t="shared" si="11"/>
        <v>31.886915597163721</v>
      </c>
      <c r="X20" s="128">
        <f t="shared" si="11"/>
        <v>32.186788187981662</v>
      </c>
      <c r="Y20" s="128">
        <f t="shared" si="11"/>
        <v>32.453302907613931</v>
      </c>
      <c r="Z20" s="128">
        <f t="shared" si="11"/>
        <v>32.842742542505299</v>
      </c>
      <c r="AA20" s="128">
        <f t="shared" si="11"/>
        <v>33.236855453015366</v>
      </c>
      <c r="AB20" s="128">
        <f t="shared" si="11"/>
        <v>33.635697718451553</v>
      </c>
      <c r="AC20" s="128">
        <f t="shared" si="11"/>
        <v>34.039326091072972</v>
      </c>
      <c r="AD20" s="128">
        <f t="shared" si="11"/>
        <v>34.447798004165847</v>
      </c>
      <c r="AE20" s="128">
        <f t="shared" si="11"/>
        <v>34.861171580215839</v>
      </c>
      <c r="AF20" s="128">
        <f t="shared" si="11"/>
        <v>35.279505639178431</v>
      </c>
      <c r="AG20" s="128">
        <f t="shared" si="11"/>
        <v>35.702859706848571</v>
      </c>
      <c r="AH20" s="128">
        <f t="shared" si="11"/>
        <v>36.131294023330753</v>
      </c>
      <c r="AI20" s="129">
        <f t="shared" si="11"/>
        <v>36.56486955161072</v>
      </c>
      <c r="AK20" s="117"/>
    </row>
    <row r="21" spans="1:37" s="116" customFormat="1">
      <c r="A21" s="333"/>
      <c r="B21" s="335"/>
      <c r="C21" s="125" t="s">
        <v>173</v>
      </c>
      <c r="D21" s="126">
        <v>7.07</v>
      </c>
      <c r="E21" s="128">
        <v>7.07</v>
      </c>
      <c r="F21" s="128">
        <v>7.07</v>
      </c>
      <c r="G21" s="128">
        <v>7.07</v>
      </c>
      <c r="H21" s="128">
        <v>7.07</v>
      </c>
      <c r="I21" s="128">
        <v>7.07</v>
      </c>
      <c r="J21" s="128">
        <v>7.07</v>
      </c>
      <c r="K21" s="128">
        <v>7.07</v>
      </c>
      <c r="L21" s="128">
        <v>7.07</v>
      </c>
      <c r="M21" s="128">
        <v>7.07</v>
      </c>
      <c r="N21" s="128">
        <v>7.07</v>
      </c>
      <c r="O21" s="128">
        <v>7.07</v>
      </c>
      <c r="P21" s="128">
        <v>7.07</v>
      </c>
      <c r="Q21" s="128">
        <v>7.07</v>
      </c>
      <c r="R21" s="128">
        <v>7.07</v>
      </c>
      <c r="S21" s="128">
        <v>7.07</v>
      </c>
      <c r="T21" s="128">
        <v>7.07</v>
      </c>
      <c r="U21" s="128">
        <v>7.07</v>
      </c>
      <c r="V21" s="128">
        <v>7.07</v>
      </c>
      <c r="W21" s="128">
        <v>7.07</v>
      </c>
      <c r="X21" s="128">
        <v>7.07</v>
      </c>
      <c r="Y21" s="128">
        <v>7.07</v>
      </c>
      <c r="Z21" s="128">
        <v>7.07</v>
      </c>
      <c r="AA21" s="128">
        <v>7.07</v>
      </c>
      <c r="AB21" s="128">
        <v>7.07</v>
      </c>
      <c r="AC21" s="128">
        <v>7.07</v>
      </c>
      <c r="AD21" s="128">
        <v>7.07</v>
      </c>
      <c r="AE21" s="128">
        <v>7.07</v>
      </c>
      <c r="AF21" s="128">
        <v>7.07</v>
      </c>
      <c r="AG21" s="128">
        <v>7.07</v>
      </c>
      <c r="AH21" s="128">
        <v>7.07</v>
      </c>
      <c r="AI21" s="129">
        <v>7.07</v>
      </c>
      <c r="AK21" s="117"/>
    </row>
    <row r="22" spans="1:37" s="116" customFormat="1">
      <c r="A22" s="333"/>
      <c r="B22" s="335"/>
      <c r="C22" s="125" t="s">
        <v>122</v>
      </c>
      <c r="D22" s="126">
        <f>(D8*D4)/D16</f>
        <v>3444974.1459990642</v>
      </c>
      <c r="E22" s="126">
        <f t="shared" ref="E22:AI23" si="12">(E8*E4)/E16</f>
        <v>3346069.0480222204</v>
      </c>
      <c r="F22" s="126">
        <f t="shared" si="12"/>
        <v>3242867.8441459844</v>
      </c>
      <c r="G22" s="126">
        <f t="shared" si="12"/>
        <v>3137209.7977773631</v>
      </c>
      <c r="H22" s="126">
        <f t="shared" si="12"/>
        <v>3027757.0438520396</v>
      </c>
      <c r="I22" s="126">
        <f t="shared" si="12"/>
        <v>2926329.6250345279</v>
      </c>
      <c r="J22" s="126">
        <f t="shared" si="12"/>
        <v>2825248.9865768347</v>
      </c>
      <c r="K22" s="126">
        <f t="shared" si="12"/>
        <v>2740298.9961370663</v>
      </c>
      <c r="L22" s="126">
        <f t="shared" si="12"/>
        <v>2660883.748874614</v>
      </c>
      <c r="M22" s="126">
        <f t="shared" si="12"/>
        <v>2586289.8305170937</v>
      </c>
      <c r="N22" s="126">
        <f t="shared" si="12"/>
        <v>2516560.3515865845</v>
      </c>
      <c r="O22" s="126">
        <f t="shared" si="12"/>
        <v>2451042.284233809</v>
      </c>
      <c r="P22" s="126">
        <f t="shared" si="12"/>
        <v>2389478.1862218273</v>
      </c>
      <c r="Q22" s="126">
        <f t="shared" si="12"/>
        <v>2331447.8665743633</v>
      </c>
      <c r="R22" s="126">
        <f t="shared" si="12"/>
        <v>2276482.7567373589</v>
      </c>
      <c r="S22" s="126">
        <f t="shared" si="12"/>
        <v>2223409.2386164283</v>
      </c>
      <c r="T22" s="126">
        <f t="shared" si="12"/>
        <v>2172985.224700958</v>
      </c>
      <c r="U22" s="126">
        <f t="shared" si="12"/>
        <v>2124787.6785623264</v>
      </c>
      <c r="V22" s="126">
        <f t="shared" si="12"/>
        <v>2078636.3661098816</v>
      </c>
      <c r="W22" s="126">
        <f t="shared" si="12"/>
        <v>2034042.3363074076</v>
      </c>
      <c r="X22" s="126">
        <f t="shared" si="12"/>
        <v>1990778.0626560277</v>
      </c>
      <c r="Y22" s="126">
        <f t="shared" si="12"/>
        <v>1948396.0811730193</v>
      </c>
      <c r="Z22" s="126">
        <f t="shared" si="12"/>
        <v>1897675.6275224679</v>
      </c>
      <c r="AA22" s="126">
        <f t="shared" si="12"/>
        <v>1846033.7782420104</v>
      </c>
      <c r="AB22" s="126">
        <f t="shared" si="12"/>
        <v>1793550.9967794463</v>
      </c>
      <c r="AC22" s="126">
        <f t="shared" si="12"/>
        <v>1740314.2915071608</v>
      </c>
      <c r="AD22" s="126">
        <f t="shared" si="12"/>
        <v>1686414.243662351</v>
      </c>
      <c r="AE22" s="126">
        <f t="shared" si="12"/>
        <v>1631937.2413686588</v>
      </c>
      <c r="AF22" s="126">
        <f t="shared" si="12"/>
        <v>1576966.321989855</v>
      </c>
      <c r="AG22" s="126">
        <f t="shared" si="12"/>
        <v>1521574.4008160131</v>
      </c>
      <c r="AH22" s="126">
        <f t="shared" si="12"/>
        <v>1465836.0128105537</v>
      </c>
      <c r="AI22" s="127">
        <f t="shared" si="12"/>
        <v>1409817.4198822267</v>
      </c>
      <c r="AK22" s="117"/>
    </row>
    <row r="23" spans="1:37" s="116" customFormat="1">
      <c r="A23" s="333"/>
      <c r="B23" s="335"/>
      <c r="C23" s="125" t="s">
        <v>174</v>
      </c>
      <c r="D23" s="126">
        <f>(D9*D5)/D17</f>
        <v>171993.98868458273</v>
      </c>
      <c r="E23" s="126">
        <f t="shared" si="12"/>
        <v>173928.1883429992</v>
      </c>
      <c r="F23" s="126">
        <f t="shared" si="12"/>
        <v>172979.31676818084</v>
      </c>
      <c r="G23" s="126">
        <f t="shared" si="12"/>
        <v>169157.81976275222</v>
      </c>
      <c r="H23" s="126">
        <f t="shared" si="12"/>
        <v>162550.3695127042</v>
      </c>
      <c r="I23" s="126">
        <f t="shared" si="12"/>
        <v>153881.26694546588</v>
      </c>
      <c r="J23" s="126">
        <f t="shared" si="12"/>
        <v>143189.81744090412</v>
      </c>
      <c r="K23" s="126">
        <f t="shared" si="12"/>
        <v>131305.34000921351</v>
      </c>
      <c r="L23" s="126">
        <f t="shared" si="12"/>
        <v>118221.35079078705</v>
      </c>
      <c r="M23" s="126">
        <f t="shared" si="12"/>
        <v>104410.45566774276</v>
      </c>
      <c r="N23" s="126">
        <f t="shared" si="12"/>
        <v>90419.007571269554</v>
      </c>
      <c r="O23" s="126">
        <f t="shared" si="12"/>
        <v>76748.322985729596</v>
      </c>
      <c r="P23" s="126">
        <f t="shared" si="12"/>
        <v>63825.779034943043</v>
      </c>
      <c r="Q23" s="126">
        <f t="shared" si="12"/>
        <v>51981.311893555263</v>
      </c>
      <c r="R23" s="126">
        <f t="shared" si="12"/>
        <v>41440.604572804237</v>
      </c>
      <c r="S23" s="126">
        <f t="shared" si="12"/>
        <v>32314.062748813467</v>
      </c>
      <c r="T23" s="126">
        <f t="shared" si="12"/>
        <v>24641.563531338015</v>
      </c>
      <c r="U23" s="126">
        <f t="shared" si="12"/>
        <v>18366.892032563388</v>
      </c>
      <c r="V23" s="126">
        <f t="shared" si="12"/>
        <v>13374.213529061901</v>
      </c>
      <c r="W23" s="126">
        <f t="shared" si="12"/>
        <v>9508.823322440765</v>
      </c>
      <c r="X23" s="126">
        <f t="shared" si="12"/>
        <v>6597.2419634646994</v>
      </c>
      <c r="Y23" s="126">
        <f t="shared" si="12"/>
        <v>4463.9128664588734</v>
      </c>
      <c r="Z23" s="126">
        <f t="shared" si="12"/>
        <v>0</v>
      </c>
      <c r="AA23" s="126">
        <f t="shared" si="12"/>
        <v>0</v>
      </c>
      <c r="AB23" s="126">
        <f t="shared" si="12"/>
        <v>0</v>
      </c>
      <c r="AC23" s="126">
        <f t="shared" si="12"/>
        <v>0</v>
      </c>
      <c r="AD23" s="126">
        <f t="shared" si="12"/>
        <v>0</v>
      </c>
      <c r="AE23" s="126">
        <f t="shared" si="12"/>
        <v>0</v>
      </c>
      <c r="AF23" s="126">
        <f t="shared" si="12"/>
        <v>0</v>
      </c>
      <c r="AG23" s="126">
        <f t="shared" si="12"/>
        <v>0</v>
      </c>
      <c r="AH23" s="126">
        <f t="shared" si="12"/>
        <v>0</v>
      </c>
      <c r="AI23" s="127">
        <f t="shared" si="12"/>
        <v>0</v>
      </c>
      <c r="AK23" s="117"/>
    </row>
    <row r="24" spans="1:37" s="116" customFormat="1">
      <c r="A24" s="333"/>
      <c r="B24" s="335"/>
      <c r="C24" s="125" t="s">
        <v>123</v>
      </c>
      <c r="D24" s="126">
        <f>(D10*D4)/D18</f>
        <v>25914459.64328181</v>
      </c>
      <c r="E24" s="126">
        <f t="shared" ref="E24:AI25" si="13">(E10*E4)/E18</f>
        <v>25590431.933138095</v>
      </c>
      <c r="F24" s="126">
        <f t="shared" si="13"/>
        <v>25223235.188600425</v>
      </c>
      <c r="G24" s="126">
        <f t="shared" si="13"/>
        <v>24825131.713497709</v>
      </c>
      <c r="H24" s="126">
        <f t="shared" si="13"/>
        <v>24383652.964081675</v>
      </c>
      <c r="I24" s="126">
        <f t="shared" si="13"/>
        <v>23993300.936808977</v>
      </c>
      <c r="J24" s="126">
        <f t="shared" si="13"/>
        <v>23592724.381613702</v>
      </c>
      <c r="K24" s="126">
        <f t="shared" si="13"/>
        <v>23315580.90687317</v>
      </c>
      <c r="L24" s="126">
        <f t="shared" si="13"/>
        <v>23077064.104878012</v>
      </c>
      <c r="M24" s="126">
        <f t="shared" si="13"/>
        <v>22873111.082509719</v>
      </c>
      <c r="N24" s="126">
        <f t="shared" si="13"/>
        <v>22706169.889355257</v>
      </c>
      <c r="O24" s="126">
        <f t="shared" si="13"/>
        <v>22572492.509499289</v>
      </c>
      <c r="P24" s="126">
        <f t="shared" si="13"/>
        <v>22471747.184275247</v>
      </c>
      <c r="Q24" s="126">
        <f t="shared" si="13"/>
        <v>22402022.133869149</v>
      </c>
      <c r="R24" s="126">
        <f t="shared" si="13"/>
        <v>22360772.998415489</v>
      </c>
      <c r="S24" s="126">
        <f t="shared" si="13"/>
        <v>22338151.972009644</v>
      </c>
      <c r="T24" s="126">
        <f t="shared" si="13"/>
        <v>22343260.288445424</v>
      </c>
      <c r="U24" s="126">
        <f t="shared" si="13"/>
        <v>22373648.361216974</v>
      </c>
      <c r="V24" s="126">
        <f t="shared" si="13"/>
        <v>22429256.286594167</v>
      </c>
      <c r="W24" s="126">
        <f t="shared" si="13"/>
        <v>22506613.613463197</v>
      </c>
      <c r="X24" s="126">
        <f t="shared" si="13"/>
        <v>22604866.563517082</v>
      </c>
      <c r="Y24" s="126">
        <f t="shared" si="13"/>
        <v>22720515.093474362</v>
      </c>
      <c r="Z24" s="126">
        <f t="shared" si="13"/>
        <v>22744528.222285852</v>
      </c>
      <c r="AA24" s="126">
        <f t="shared" si="13"/>
        <v>22760503.591366027</v>
      </c>
      <c r="AB24" s="126">
        <f t="shared" si="13"/>
        <v>22768763.430749644</v>
      </c>
      <c r="AC24" s="126">
        <f t="shared" si="13"/>
        <v>22769750.764425073</v>
      </c>
      <c r="AD24" s="126">
        <f t="shared" si="13"/>
        <v>22764008.711065508</v>
      </c>
      <c r="AE24" s="126">
        <f t="shared" si="13"/>
        <v>22752089.051444311</v>
      </c>
      <c r="AF24" s="126">
        <f t="shared" si="13"/>
        <v>22734566.370484509</v>
      </c>
      <c r="AG24" s="126">
        <f t="shared" si="13"/>
        <v>22711941.573300369</v>
      </c>
      <c r="AH24" s="126">
        <f t="shared" si="13"/>
        <v>22684810.651636217</v>
      </c>
      <c r="AI24" s="127">
        <f t="shared" si="13"/>
        <v>22653724.486045074</v>
      </c>
      <c r="AK24" s="117"/>
    </row>
    <row r="25" spans="1:37" s="116" customFormat="1">
      <c r="A25" s="333"/>
      <c r="B25" s="335"/>
      <c r="C25" s="125" t="s">
        <v>175</v>
      </c>
      <c r="D25" s="126">
        <f>(D11*D5)/D19</f>
        <v>154794.62517680338</v>
      </c>
      <c r="E25" s="126">
        <f t="shared" si="13"/>
        <v>156535.40526703521</v>
      </c>
      <c r="F25" s="126">
        <f t="shared" si="13"/>
        <v>155681.42065461777</v>
      </c>
      <c r="G25" s="126">
        <f t="shared" si="13"/>
        <v>152242.0725640608</v>
      </c>
      <c r="H25" s="126">
        <f t="shared" si="13"/>
        <v>146295.36598057521</v>
      </c>
      <c r="I25" s="126">
        <f t="shared" si="13"/>
        <v>138493.17188775801</v>
      </c>
      <c r="J25" s="126">
        <f t="shared" si="13"/>
        <v>128870.8651355703</v>
      </c>
      <c r="K25" s="126">
        <f t="shared" si="13"/>
        <v>118174.83300368897</v>
      </c>
      <c r="L25" s="126">
        <f t="shared" si="13"/>
        <v>106399.24001713471</v>
      </c>
      <c r="M25" s="126">
        <f t="shared" si="13"/>
        <v>93969.431566978034</v>
      </c>
      <c r="N25" s="126">
        <f t="shared" si="13"/>
        <v>81377.125403614948</v>
      </c>
      <c r="O25" s="126">
        <f t="shared" si="13"/>
        <v>69073.506466038394</v>
      </c>
      <c r="P25" s="126">
        <f t="shared" si="13"/>
        <v>57443.214253552011</v>
      </c>
      <c r="Q25" s="126">
        <f t="shared" si="13"/>
        <v>46783.191391169064</v>
      </c>
      <c r="R25" s="126">
        <f t="shared" si="13"/>
        <v>37296.552635402477</v>
      </c>
      <c r="S25" s="126">
        <f t="shared" si="13"/>
        <v>29082.663117461972</v>
      </c>
      <c r="T25" s="126">
        <f t="shared" si="13"/>
        <v>22177.412244325555</v>
      </c>
      <c r="U25" s="126">
        <f t="shared" si="13"/>
        <v>16530.206605402815</v>
      </c>
      <c r="V25" s="126">
        <f t="shared" si="13"/>
        <v>12036.79492579408</v>
      </c>
      <c r="W25" s="126">
        <f t="shared" si="13"/>
        <v>8557.9429451397136</v>
      </c>
      <c r="X25" s="126">
        <f t="shared" si="13"/>
        <v>5937.5191234618815</v>
      </c>
      <c r="Y25" s="126">
        <f t="shared" si="13"/>
        <v>4017.5224975601168</v>
      </c>
      <c r="Z25" s="126">
        <f t="shared" si="13"/>
        <v>0</v>
      </c>
      <c r="AA25" s="126">
        <f t="shared" si="13"/>
        <v>0</v>
      </c>
      <c r="AB25" s="126">
        <f t="shared" si="13"/>
        <v>0</v>
      </c>
      <c r="AC25" s="126">
        <f t="shared" si="13"/>
        <v>0</v>
      </c>
      <c r="AD25" s="126">
        <f t="shared" si="13"/>
        <v>0</v>
      </c>
      <c r="AE25" s="126">
        <f t="shared" si="13"/>
        <v>0</v>
      </c>
      <c r="AF25" s="126">
        <f t="shared" si="13"/>
        <v>0</v>
      </c>
      <c r="AG25" s="126">
        <f t="shared" si="13"/>
        <v>0</v>
      </c>
      <c r="AH25" s="126">
        <f t="shared" si="13"/>
        <v>0</v>
      </c>
      <c r="AI25" s="127">
        <f t="shared" si="13"/>
        <v>0</v>
      </c>
      <c r="AK25" s="117"/>
    </row>
    <row r="26" spans="1:37" s="116" customFormat="1">
      <c r="A26" s="333"/>
      <c r="B26" s="335"/>
      <c r="C26" s="125" t="s">
        <v>124</v>
      </c>
      <c r="D26" s="126">
        <f>(D12*D4)/D20</f>
        <v>2879384.3995243758</v>
      </c>
      <c r="E26" s="126">
        <f t="shared" ref="E26:AI27" si="14">(E12*E4)/E20</f>
        <v>2810446.6757837585</v>
      </c>
      <c r="F26" s="126">
        <f t="shared" si="14"/>
        <v>2737563.4125404577</v>
      </c>
      <c r="G26" s="126">
        <f t="shared" si="14"/>
        <v>2662220.4717788007</v>
      </c>
      <c r="H26" s="126">
        <f t="shared" si="14"/>
        <v>2583221.0288390666</v>
      </c>
      <c r="I26" s="126">
        <f t="shared" si="14"/>
        <v>2510627.174404446</v>
      </c>
      <c r="J26" s="126">
        <f t="shared" si="14"/>
        <v>2437903.6415470573</v>
      </c>
      <c r="K26" s="126">
        <f t="shared" si="14"/>
        <v>2378730.8431870998</v>
      </c>
      <c r="L26" s="126">
        <f t="shared" si="14"/>
        <v>2324085.774629666</v>
      </c>
      <c r="M26" s="126">
        <f t="shared" si="14"/>
        <v>2273414.7673255787</v>
      </c>
      <c r="N26" s="126">
        <f t="shared" si="14"/>
        <v>2226823.281103109</v>
      </c>
      <c r="O26" s="126">
        <f t="shared" si="14"/>
        <v>2183803.5634821388</v>
      </c>
      <c r="P26" s="126">
        <f t="shared" si="14"/>
        <v>2144192.9015029417</v>
      </c>
      <c r="Q26" s="126">
        <f t="shared" si="14"/>
        <v>2107680.9231879385</v>
      </c>
      <c r="R26" s="126">
        <f t="shared" si="14"/>
        <v>2073908.0386786615</v>
      </c>
      <c r="S26" s="126">
        <f t="shared" si="14"/>
        <v>2041859.9879458025</v>
      </c>
      <c r="T26" s="126">
        <f t="shared" si="14"/>
        <v>2012281.3964975958</v>
      </c>
      <c r="U26" s="126">
        <f t="shared" si="14"/>
        <v>1984842.6325026595</v>
      </c>
      <c r="V26" s="126">
        <f t="shared" si="14"/>
        <v>1959435.4159288972</v>
      </c>
      <c r="W26" s="126">
        <f t="shared" si="14"/>
        <v>1935657.85850294</v>
      </c>
      <c r="X26" s="126">
        <f t="shared" si="14"/>
        <v>1913347.82962681</v>
      </c>
      <c r="Y26" s="126">
        <f t="shared" si="14"/>
        <v>1892126.9472289931</v>
      </c>
      <c r="Z26" s="126">
        <f t="shared" si="14"/>
        <v>1862991.4954674484</v>
      </c>
      <c r="AA26" s="126">
        <f t="shared" si="14"/>
        <v>1833049.7437485219</v>
      </c>
      <c r="AB26" s="126">
        <f t="shared" si="14"/>
        <v>1802359.6921308576</v>
      </c>
      <c r="AC26" s="126">
        <f t="shared" si="14"/>
        <v>1770987.1504268562</v>
      </c>
      <c r="AD26" s="126">
        <f t="shared" si="14"/>
        <v>1739003.3082831961</v>
      </c>
      <c r="AE26" s="126">
        <f t="shared" si="14"/>
        <v>1706477.1649610077</v>
      </c>
      <c r="AF26" s="126">
        <f t="shared" si="14"/>
        <v>1673476.4885619802</v>
      </c>
      <c r="AG26" s="126">
        <f t="shared" si="14"/>
        <v>1640060.6674371096</v>
      </c>
      <c r="AH26" s="126">
        <f t="shared" si="14"/>
        <v>1606293.1538492115</v>
      </c>
      <c r="AI26" s="127">
        <f t="shared" si="14"/>
        <v>1572231.0449926835</v>
      </c>
      <c r="AK26" s="117"/>
    </row>
    <row r="27" spans="1:37" s="116" customFormat="1" ht="15.75" thickBot="1">
      <c r="A27" s="156"/>
      <c r="B27" s="132"/>
      <c r="C27" s="125" t="s">
        <v>176</v>
      </c>
      <c r="D27" s="126">
        <f>(D13*D5)/D21</f>
        <v>17199.434229137198</v>
      </c>
      <c r="E27" s="126">
        <f t="shared" si="14"/>
        <v>17392.854592635842</v>
      </c>
      <c r="F27" s="126">
        <f t="shared" si="14"/>
        <v>17297.9672400731</v>
      </c>
      <c r="G27" s="126">
        <f t="shared" si="14"/>
        <v>16915.81675385901</v>
      </c>
      <c r="H27" s="126">
        <f t="shared" si="14"/>
        <v>16255.07037041181</v>
      </c>
      <c r="I27" s="126">
        <f t="shared" si="14"/>
        <v>15388.158331385264</v>
      </c>
      <c r="J27" s="126">
        <f t="shared" si="14"/>
        <v>14319.01118284696</v>
      </c>
      <c r="K27" s="126">
        <f t="shared" si="14"/>
        <v>13130.560996318138</v>
      </c>
      <c r="L27" s="126">
        <f t="shared" si="14"/>
        <v>11822.15938450507</v>
      </c>
      <c r="M27" s="126">
        <f t="shared" si="14"/>
        <v>10441.067032783803</v>
      </c>
      <c r="N27" s="126">
        <f t="shared" si="14"/>
        <v>9041.9193465992976</v>
      </c>
      <c r="O27" s="126">
        <f t="shared" si="14"/>
        <v>7674.8480774546988</v>
      </c>
      <c r="P27" s="126">
        <f t="shared" si="14"/>
        <v>6382.5910255975659</v>
      </c>
      <c r="Q27" s="126">
        <f t="shared" si="14"/>
        <v>5198.1418763248448</v>
      </c>
      <c r="R27" s="126">
        <f t="shared" si="14"/>
        <v>4144.0689771590787</v>
      </c>
      <c r="S27" s="126">
        <f t="shared" si="14"/>
        <v>3231.4129184111957</v>
      </c>
      <c r="T27" s="126">
        <f t="shared" si="14"/>
        <v>2464.161419255141</v>
      </c>
      <c r="U27" s="126">
        <f t="shared" si="14"/>
        <v>1836.6929793521024</v>
      </c>
      <c r="V27" s="126">
        <f t="shared" si="14"/>
        <v>1337.424102544559</v>
      </c>
      <c r="W27" s="126">
        <f t="shared" si="14"/>
        <v>950.88428718710122</v>
      </c>
      <c r="X27" s="126">
        <f t="shared" si="14"/>
        <v>659.72555269012264</v>
      </c>
      <c r="Y27" s="126">
        <f t="shared" si="14"/>
        <v>446.39220439301823</v>
      </c>
      <c r="Z27" s="126">
        <f t="shared" si="14"/>
        <v>0</v>
      </c>
      <c r="AA27" s="126">
        <f t="shared" si="14"/>
        <v>0</v>
      </c>
      <c r="AB27" s="126">
        <f t="shared" si="14"/>
        <v>0</v>
      </c>
      <c r="AC27" s="126">
        <f t="shared" si="14"/>
        <v>0</v>
      </c>
      <c r="AD27" s="126">
        <f t="shared" si="14"/>
        <v>0</v>
      </c>
      <c r="AE27" s="126">
        <f t="shared" si="14"/>
        <v>0</v>
      </c>
      <c r="AF27" s="126">
        <f t="shared" si="14"/>
        <v>0</v>
      </c>
      <c r="AG27" s="126">
        <f t="shared" si="14"/>
        <v>0</v>
      </c>
      <c r="AH27" s="126">
        <f t="shared" si="14"/>
        <v>0</v>
      </c>
      <c r="AI27" s="127">
        <f t="shared" si="14"/>
        <v>0</v>
      </c>
      <c r="AK27" s="117"/>
    </row>
    <row r="28" spans="1:37" s="116" customFormat="1">
      <c r="A28" s="333" t="s">
        <v>197</v>
      </c>
      <c r="B28" s="337" t="s">
        <v>120</v>
      </c>
      <c r="C28" s="118" t="s">
        <v>125</v>
      </c>
      <c r="D28" s="119">
        <v>2186.1885631079704</v>
      </c>
      <c r="E28" s="119">
        <f>(E14+E15)/'Constants and Trends'!$A$5*'Constants and Trends'!S33</f>
        <v>1421.7123089348067</v>
      </c>
      <c r="F28" s="119">
        <f>(F14+F15)/'Constants and Trends'!$A$5*'Constants and Trends'!T33</f>
        <v>1777.4817309878836</v>
      </c>
      <c r="G28" s="119">
        <f>(G14+G15)/'Constants and Trends'!$A$5*'Constants and Trends'!U33</f>
        <v>1999.4887717095842</v>
      </c>
      <c r="H28" s="119">
        <f>(H14+H15)/'Constants and Trends'!$A$5*'Constants and Trends'!V33</f>
        <v>2162.352663832532</v>
      </c>
      <c r="I28" s="119">
        <f>(I14+I15)/'Constants and Trends'!$A$5*'Constants and Trends'!W33</f>
        <v>2273.3264764694868</v>
      </c>
      <c r="J28" s="119">
        <f>(J14+J15)/'Constants and Trends'!$A$5*'Constants and Trends'!X33</f>
        <v>2329.2978171047844</v>
      </c>
      <c r="K28" s="119">
        <f>(K14+K15)/'Constants and Trends'!$A$5*'Constants and Trends'!Y33</f>
        <v>2337.5855790919759</v>
      </c>
      <c r="L28" s="119">
        <f>(L14+L15)/'Constants and Trends'!$A$5*'Constants and Trends'!Z33</f>
        <v>2290.5080235641585</v>
      </c>
      <c r="M28" s="119">
        <f>(M14+M15)/'Constants and Trends'!$A$5*'Constants and Trends'!AA33</f>
        <v>2186.6790276127863</v>
      </c>
      <c r="N28" s="119">
        <f>(N14+N15)/'Constants and Trends'!$A$5*'Constants and Trends'!AB33</f>
        <v>2026.2393315109243</v>
      </c>
      <c r="O28" s="119">
        <f>(O14+O15)/'Constants and Trends'!$A$5*'Constants and Trends'!AC33</f>
        <v>1809.5387985015834</v>
      </c>
      <c r="P28" s="119">
        <f>(P14+P15)/'Constants and Trends'!$A$5*'Constants and Trends'!AD33</f>
        <v>1865.6663097602907</v>
      </c>
      <c r="Q28" s="119">
        <f>(Q14+Q15)/'Constants and Trends'!$A$5*'Constants and Trends'!AE33</f>
        <v>1908.5127703755302</v>
      </c>
      <c r="R28" s="119">
        <f>(R14+R15)/'Constants and Trends'!$A$5*'Constants and Trends'!AF33</f>
        <v>1937.5868651301878</v>
      </c>
      <c r="S28" s="119">
        <f>(S14+S15)/'Constants and Trends'!$A$5*'Constants and Trends'!AG33</f>
        <v>1951.7995700716244</v>
      </c>
      <c r="T28" s="119">
        <f>(T14+T15)/'Constants and Trends'!$A$5*'Constants and Trends'!AH33</f>
        <v>1951.3163946980699</v>
      </c>
      <c r="U28" s="119">
        <f>(U14+U15)/'Constants and Trends'!$A$5*'Constants and Trends'!AI33</f>
        <v>1935.7316973819427</v>
      </c>
      <c r="V28" s="119">
        <f>(V14+V15)/'Constants and Trends'!$A$5*'Constants and Trends'!AJ33</f>
        <v>1904.6904859205706</v>
      </c>
      <c r="W28" s="119">
        <f>(W14+W15)/'Constants and Trends'!$A$5*'Constants and Trends'!AK33</f>
        <v>1857.8555226442459</v>
      </c>
      <c r="X28" s="119">
        <f>(X14+X15)/'Constants and Trends'!$A$5*'Constants and Trends'!AL33</f>
        <v>1794.9313737846846</v>
      </c>
      <c r="Y28" s="119">
        <f>(Y14+Y15)/'Constants and Trends'!$A$5*'Constants and Trends'!AM33</f>
        <v>1715.6652049364668</v>
      </c>
      <c r="Z28" s="119">
        <f>(Z14+Z15)/'Constants and Trends'!$A$5*'Constants and Trends'!AN33</f>
        <v>1623.1409181930139</v>
      </c>
      <c r="AA28" s="119">
        <f>(AA14+AA15)/'Constants and Trends'!$A$5*'Constants and Trends'!AO33</f>
        <v>1513.7620505314537</v>
      </c>
      <c r="AB28" s="119">
        <f>(AB14+AB15)/'Constants and Trends'!$A$5*'Constants and Trends'!AP33</f>
        <v>1387.2065378812888</v>
      </c>
      <c r="AC28" s="119">
        <f>(AC14+AC15)/'Constants and Trends'!$A$5*'Constants and Trends'!AQ33</f>
        <v>1243.1784337264257</v>
      </c>
      <c r="AD28" s="119">
        <f>(AD14+AD15)/'Constants and Trends'!$A$5*'Constants and Trends'!AR33</f>
        <v>1081.4016487852632</v>
      </c>
      <c r="AE28" s="119">
        <f>(AE14+AE15)/'Constants and Trends'!$A$5*'Constants and Trends'!AS33</f>
        <v>901.61035481272302</v>
      </c>
      <c r="AF28" s="119">
        <f>(AF14+AF15)/'Constants and Trends'!$A$5*'Constants and Trends'!AT33</f>
        <v>703.54606997788812</v>
      </c>
      <c r="AG28" s="119">
        <f>(AG14+AG15)/'Constants and Trends'!$A$5*'Constants and Trends'!AU33</f>
        <v>486.95127353342298</v>
      </c>
      <c r="AH28" s="119">
        <f>(AH14+AH15)/'Constants and Trends'!$A$5*'Constants and Trends'!AV33</f>
        <v>251.57147110985991</v>
      </c>
      <c r="AI28" s="120">
        <f>(AI14+AI15)/'Constants and Trends'!$A$5*'Constants and Trends'!AW33</f>
        <v>0</v>
      </c>
      <c r="AK28" s="117"/>
    </row>
    <row r="29" spans="1:37" s="116" customFormat="1">
      <c r="A29" s="333"/>
      <c r="B29" s="337"/>
      <c r="C29" s="121" t="s">
        <v>126</v>
      </c>
      <c r="D29" s="119">
        <v>36931.699773149383</v>
      </c>
      <c r="E29" s="119">
        <f>((E22+E23)*$C$84)+((((E8*E4)*$C$85/'Constants and Trends'!$A$6)+(('On-Road'!E9*'On-Road'!E5)*'On-Road'!$C$87/'Constants and Trends'!$A$6))*'Constants and Trends'!$H$6)+(('On-Road'!E8*'On-Road'!E4)*'On-Road'!$C$88/'Constants and Trends'!$A$6)+(('On-Road'!E9*'On-Road'!E5)*'On-Road'!$C$90/'Constants and Trends'!$A$6)*'Constants and Trends'!$H$7</f>
        <v>35941.667590054181</v>
      </c>
      <c r="F29" s="119">
        <f>((F22+F23)*$C$84)+((((F8*F4)*$C$85/'Constants and Trends'!$A$6)+(('On-Road'!F9*'On-Road'!F5)*'On-Road'!$C$87/'Constants and Trends'!$A$6))*'Constants and Trends'!$H$6)+(('On-Road'!F8*'On-Road'!F4)*'On-Road'!$C$88/'Constants and Trends'!$A$6)+(('On-Road'!F9*'On-Road'!F5)*'On-Road'!$C$90/'Constants and Trends'!$A$6)*'Constants and Trends'!$H$7</f>
        <v>34878.280652087662</v>
      </c>
      <c r="G29" s="119">
        <f>((G22+G23)*$C$84)+((((G8*G4)*$C$85/'Constants and Trends'!$A$6)+(('On-Road'!G9*'On-Road'!G5)*'On-Road'!$C$87/'Constants and Trends'!$A$6))*'Constants and Trends'!$H$6)+(('On-Road'!G8*'On-Road'!G4)*'On-Road'!$C$88/'Constants and Trends'!$A$6)+(('On-Road'!G9*'On-Road'!G5)*'On-Road'!$C$90/'Constants and Trends'!$A$6)*'Constants and Trends'!$H$7</f>
        <v>33760.450099784175</v>
      </c>
      <c r="H29" s="119">
        <f>((H22+H23)*$C$84)+((((H8*H4)*$C$85/'Constants and Trends'!$A$6)+(('On-Road'!H9*'On-Road'!H5)*'On-Road'!$C$87/'Constants and Trends'!$A$6))*'Constants and Trends'!$H$6)+(('On-Road'!H8*'On-Road'!H4)*'On-Road'!$C$88/'Constants and Trends'!$A$6)+(('On-Road'!H9*'On-Road'!H5)*'On-Road'!$C$90/'Constants and Trends'!$A$6)*'Constants and Trends'!$H$7</f>
        <v>32575.401912095207</v>
      </c>
      <c r="I29" s="119">
        <f>((I22+I23)*$C$84)+((((I8*I4)*$C$85/'Constants and Trends'!$A$6)+(('On-Road'!I9*'On-Road'!I5)*'On-Road'!$C$87/'Constants and Trends'!$A$6))*'Constants and Trends'!$H$6)+(('On-Road'!I8*'On-Road'!I4)*'On-Road'!$C$88/'Constants and Trends'!$A$6)+(('On-Road'!I9*'On-Road'!I5)*'On-Road'!$C$90/'Constants and Trends'!$A$6)*'Constants and Trends'!$H$7</f>
        <v>31451.223255714005</v>
      </c>
      <c r="J29" s="119">
        <f>((J22+J23)*$C$84)+((((J8*J4)*$C$85/'Constants and Trends'!$A$6)+(('On-Road'!J9*'On-Road'!J5)*'On-Road'!$C$87/'Constants and Trends'!$A$6))*'Constants and Trends'!$H$6)+(('On-Road'!J8*'On-Road'!J4)*'On-Road'!$C$88/'Constants and Trends'!$A$6)+(('On-Road'!J9*'On-Road'!J5)*'On-Road'!$C$90/'Constants and Trends'!$A$6)*'Constants and Trends'!$H$7</f>
        <v>30309.916465442733</v>
      </c>
      <c r="K29" s="119">
        <f>((K22+K23)*$C$84)+((((K8*K4)*$C$85/'Constants and Trends'!$A$6)+(('On-Road'!K9*'On-Road'!K5)*'On-Road'!$C$87/'Constants and Trends'!$A$6))*'Constants and Trends'!$H$6)+(('On-Road'!K8*'On-Road'!K4)*'On-Road'!$C$88/'Constants and Trends'!$A$6)+(('On-Road'!K9*'On-Road'!K5)*'On-Road'!$C$90/'Constants and Trends'!$A$6)*'Constants and Trends'!$H$7</f>
        <v>29321.112690173075</v>
      </c>
      <c r="L29" s="119">
        <f>((L22+L23)*$C$84)+((((L8*L4)*$C$85/'Constants and Trends'!$A$6)+(('On-Road'!L9*'On-Road'!L5)*'On-Road'!$C$87/'Constants and Trends'!$A$6))*'Constants and Trends'!$H$6)+(('On-Road'!L8*'On-Road'!L4)*'On-Road'!$C$88/'Constants and Trends'!$A$6)+(('On-Road'!L9*'On-Road'!L5)*'On-Road'!$C$90/'Constants and Trends'!$A$6)*'Constants and Trends'!$H$7</f>
        <v>28376.559197252274</v>
      </c>
      <c r="M29" s="119">
        <f>((M22+M23)*$C$84)+((((M8*M4)*$C$85/'Constants and Trends'!$A$6)+(('On-Road'!M9*'On-Road'!M5)*'On-Road'!$C$87/'Constants and Trends'!$A$6))*'Constants and Trends'!$H$6)+(('On-Road'!M8*'On-Road'!M4)*'On-Road'!$C$88/'Constants and Trends'!$A$6)+(('On-Road'!M9*'On-Road'!M5)*'On-Road'!$C$90/'Constants and Trends'!$A$6)*'Constants and Trends'!$H$7</f>
        <v>27473.801814171562</v>
      </c>
      <c r="N29" s="119">
        <f>((N22+N23)*$C$84)+((((N8*N4)*$C$85/'Constants and Trends'!$A$6)+(('On-Road'!N9*'On-Road'!N5)*'On-Road'!$C$87/'Constants and Trends'!$A$6))*'Constants and Trends'!$H$6)+(('On-Road'!N8*'On-Road'!N4)*'On-Road'!$C$88/'Constants and Trends'!$A$6)+(('On-Road'!N9*'On-Road'!N5)*'On-Road'!$C$90/'Constants and Trends'!$A$6)*'Constants and Trends'!$H$7</f>
        <v>26618.864592259972</v>
      </c>
      <c r="O29" s="119">
        <f>((O22+O23)*$C$84)+((((O8*O4)*$C$85/'Constants and Trends'!$A$6)+(('On-Road'!O9*'On-Road'!O5)*'On-Road'!$C$87/'Constants and Trends'!$A$6))*'Constants and Trends'!$H$6)+(('On-Road'!O8*'On-Road'!O4)*'On-Road'!$C$88/'Constants and Trends'!$A$6)+(('On-Road'!O9*'On-Road'!O5)*'On-Road'!$C$90/'Constants and Trends'!$A$6)*'Constants and Trends'!$H$7</f>
        <v>25810.203721067825</v>
      </c>
      <c r="P29" s="119">
        <f>((P22+P23)*$C$84)+((((P8*P4)*$C$85/'Constants and Trends'!$A$6)+(('On-Road'!P9*'On-Road'!P5)*'On-Road'!$C$87/'Constants and Trends'!$A$6))*'Constants and Trends'!$H$6)+(('On-Road'!P8*'On-Road'!P4)*'On-Road'!$C$88/'Constants and Trends'!$A$6)+(('On-Road'!P9*'On-Road'!P5)*'On-Road'!$C$90/'Constants and Trends'!$A$6)*'Constants and Trends'!$H$7</f>
        <v>25049.55864301727</v>
      </c>
      <c r="Q29" s="119">
        <f>((Q22+Q23)*$C$84)+((((Q8*Q4)*$C$85/'Constants and Trends'!$A$6)+(('On-Road'!Q9*'On-Road'!Q5)*'On-Road'!$C$87/'Constants and Trends'!$A$6))*'Constants and Trends'!$H$6)+(('On-Road'!Q8*'On-Road'!Q4)*'On-Road'!$C$88/'Constants and Trends'!$A$6)+(('On-Road'!Q9*'On-Road'!Q5)*'On-Road'!$C$90/'Constants and Trends'!$A$6)*'Constants and Trends'!$H$7</f>
        <v>24336.011238913768</v>
      </c>
      <c r="R29" s="119">
        <f>((R22+R23)*$C$84)+((((R8*R4)*$C$85/'Constants and Trends'!$A$6)+(('On-Road'!R9*'On-Road'!R5)*'On-Road'!$C$87/'Constants and Trends'!$A$6))*'Constants and Trends'!$H$6)+(('On-Road'!R8*'On-Road'!R4)*'On-Road'!$C$88/'Constants and Trends'!$A$6)+(('On-Road'!R9*'On-Road'!R5)*'On-Road'!$C$90/'Constants and Trends'!$A$6)*'Constants and Trends'!$H$7</f>
        <v>23667.083961200045</v>
      </c>
      <c r="S29" s="119">
        <f>((S22+S23)*$C$84)+((((S8*S4)*$C$85/'Constants and Trends'!$A$6)+(('On-Road'!S9*'On-Road'!S5)*'On-Road'!$C$87/'Constants and Trends'!$A$6))*'Constants and Trends'!$H$6)+(('On-Road'!S8*'On-Road'!S4)*'On-Road'!$C$88/'Constants and Trends'!$A$6)+(('On-Road'!S9*'On-Road'!S5)*'On-Road'!$C$90/'Constants and Trends'!$A$6)*'Constants and Trends'!$H$7</f>
        <v>23031.922327926488</v>
      </c>
      <c r="T29" s="119">
        <f>((T22+T23)*$C$84)+((((T8*T4)*$C$85/'Constants and Trends'!$A$6)+(('On-Road'!T9*'On-Road'!T5)*'On-Road'!$C$87/'Constants and Trends'!$A$6))*'Constants and Trends'!$H$6)+(('On-Road'!T8*'On-Road'!T4)*'On-Road'!$C$88/'Constants and Trends'!$A$6)+(('On-Road'!T9*'On-Road'!T5)*'On-Road'!$C$90/'Constants and Trends'!$A$6)*'Constants and Trends'!$H$7</f>
        <v>22438.672375380807</v>
      </c>
      <c r="U29" s="119">
        <f>((U22+U23)*$C$84)+((((U8*U4)*$C$85/'Constants and Trends'!$A$6)+(('On-Road'!U9*'On-Road'!U5)*'On-Road'!$C$87/'Constants and Trends'!$A$6))*'Constants and Trends'!$H$6)+(('On-Road'!U8*'On-Road'!U4)*'On-Road'!$C$88/'Constants and Trends'!$A$6)+(('On-Road'!U9*'On-Road'!U5)*'On-Road'!$C$90/'Constants and Trends'!$A$6)*'Constants and Trends'!$H$7</f>
        <v>21882.440352455218</v>
      </c>
      <c r="V29" s="119">
        <f>((V22+V23)*$C$84)+((((V8*V4)*$C$85/'Constants and Trends'!$A$6)+(('On-Road'!V9*'On-Road'!V5)*'On-Road'!$C$87/'Constants and Trends'!$A$6))*'Constants and Trends'!$H$6)+(('On-Road'!V8*'On-Road'!V4)*'On-Road'!$C$88/'Constants and Trends'!$A$6)+(('On-Road'!V9*'On-Road'!V5)*'On-Road'!$C$90/'Constants and Trends'!$A$6)*'Constants and Trends'!$H$7</f>
        <v>21360.202193062127</v>
      </c>
      <c r="W29" s="119">
        <f>((W22+W23)*$C$84)+((((W8*W4)*$C$85/'Constants and Trends'!$A$6)+(('On-Road'!W9*'On-Road'!W5)*'On-Road'!$C$87/'Constants and Trends'!$A$6))*'Constants and Trends'!$H$6)+(('On-Road'!W8*'On-Road'!W4)*'On-Road'!$C$88/'Constants and Trends'!$A$6)+(('On-Road'!W9*'On-Road'!W5)*'On-Road'!$C$90/'Constants and Trends'!$A$6)*'Constants and Trends'!$H$7</f>
        <v>20865.384563090262</v>
      </c>
      <c r="X29" s="119">
        <f>((X22+X23)*$C$84)+((((X8*X4)*$C$85/'Constants and Trends'!$A$6)+(('On-Road'!X9*'On-Road'!X5)*'On-Road'!$C$87/'Constants and Trends'!$A$6))*'Constants and Trends'!$H$6)+(('On-Road'!X8*'On-Road'!X4)*'On-Road'!$C$88/'Constants and Trends'!$A$6)+(('On-Road'!X9*'On-Road'!X5)*'On-Road'!$C$90/'Constants and Trends'!$A$6)*'Constants and Trends'!$H$7</f>
        <v>20393.891392154092</v>
      </c>
      <c r="Y29" s="119">
        <f>((Y22+Y23)*$C$84)+((((Y8*Y4)*$C$85/'Constants and Trends'!$A$6)+(('On-Road'!Y9*'On-Road'!Y5)*'On-Road'!$C$87/'Constants and Trends'!$A$6))*'Constants and Trends'!$H$6)+(('On-Road'!Y8*'On-Road'!Y4)*'On-Road'!$C$88/'Constants and Trends'!$A$6)+(('On-Road'!Y9*'On-Road'!Y5)*'On-Road'!$C$90/'Constants and Trends'!$A$6)*'Constants and Trends'!$H$7</f>
        <v>19939.359822330054</v>
      </c>
      <c r="Z29" s="119">
        <f>((Z22+Z23)*$C$84)+((((Z8*Z4)*$C$85/'Constants and Trends'!$A$6)+(('On-Road'!Z9*'On-Road'!Z5)*'On-Road'!$C$87/'Constants and Trends'!$A$6))*'Constants and Trends'!$H$6)+(('On-Road'!Z8*'On-Road'!Z4)*'On-Road'!$C$88/'Constants and Trends'!$A$6)+(('On-Road'!Z9*'On-Road'!Z5)*'On-Road'!$C$90/'Constants and Trends'!$A$6)*'Constants and Trends'!$H$7</f>
        <v>19375.8724927572</v>
      </c>
      <c r="AA29" s="119">
        <f>((AA22+AA23)*$C$84)+((((AA8*AA4)*$C$85/'Constants and Trends'!$A$6)+(('On-Road'!AA9*'On-Road'!AA5)*'On-Road'!$C$87/'Constants and Trends'!$A$6))*'Constants and Trends'!$H$6)+(('On-Road'!AA8*'On-Road'!AA4)*'On-Road'!$C$88/'Constants and Trends'!$A$6)+(('On-Road'!AA9*'On-Road'!AA5)*'On-Road'!$C$90/'Constants and Trends'!$A$6)*'Constants and Trends'!$H$7</f>
        <v>18848.599820364761</v>
      </c>
      <c r="AB29" s="119">
        <f>((AB22+AB23)*$C$84)+((((AB8*AB4)*$C$85/'Constants and Trends'!$A$6)+(('On-Road'!AB9*'On-Road'!AB5)*'On-Road'!$C$87/'Constants and Trends'!$A$6))*'Constants and Trends'!$H$6)+(('On-Road'!AB8*'On-Road'!AB4)*'On-Road'!$C$88/'Constants and Trends'!$A$6)+(('On-Road'!AB9*'On-Road'!AB5)*'On-Road'!$C$90/'Constants and Trends'!$A$6)*'Constants and Trends'!$H$7</f>
        <v>18312.740643708927</v>
      </c>
      <c r="AC29" s="119">
        <f>((AC22+AC23)*$C$84)+((((AC8*AC4)*$C$85/'Constants and Trends'!$A$6)+(('On-Road'!AC9*'On-Road'!AC5)*'On-Road'!$C$87/'Constants and Trends'!$A$6))*'Constants and Trends'!$H$6)+(('On-Road'!AC8*'On-Road'!AC4)*'On-Road'!$C$88/'Constants and Trends'!$A$6)+(('On-Road'!AC9*'On-Road'!AC5)*'On-Road'!$C$90/'Constants and Trends'!$A$6)*'Constants and Trends'!$H$7</f>
        <v>17769.183330970747</v>
      </c>
      <c r="AD29" s="119">
        <f>((AD22+AD23)*$C$84)+((((AD8*AD4)*$C$85/'Constants and Trends'!$A$6)+(('On-Road'!AD9*'On-Road'!AD5)*'On-Road'!$C$87/'Constants and Trends'!$A$6))*'Constants and Trends'!$H$6)+(('On-Road'!AD8*'On-Road'!AD4)*'On-Road'!$C$88/'Constants and Trends'!$A$6)+(('On-Road'!AD9*'On-Road'!AD5)*'On-Road'!$C$90/'Constants and Trends'!$A$6)*'Constants and Trends'!$H$7</f>
        <v>17218.852731513423</v>
      </c>
      <c r="AE29" s="119">
        <f>((AE22+AE23)*$C$84)+((((AE8*AE4)*$C$85/'Constants and Trends'!$A$6)+(('On-Road'!AE9*'On-Road'!AE5)*'On-Road'!$C$87/'Constants and Trends'!$A$6))*'Constants and Trends'!$H$6)+(('On-Road'!AE8*'On-Road'!AE4)*'On-Road'!$C$88/'Constants and Trends'!$A$6)+(('On-Road'!AE9*'On-Road'!AE5)*'On-Road'!$C$90/'Constants and Trends'!$A$6)*'Constants and Trends'!$H$7</f>
        <v>16662.630882724668</v>
      </c>
      <c r="AF29" s="119">
        <f>((AF22+AF23)*$C$84)+((((AF8*AF4)*$C$85/'Constants and Trends'!$A$6)+(('On-Road'!AF9*'On-Road'!AF5)*'On-Road'!$C$87/'Constants and Trends'!$A$6))*'Constants and Trends'!$H$6)+(('On-Road'!AF8*'On-Road'!AF4)*'On-Road'!$C$88/'Constants and Trends'!$A$6)+(('On-Road'!AF9*'On-Road'!AF5)*'On-Road'!$C$90/'Constants and Trends'!$A$6)*'Constants and Trends'!$H$7</f>
        <v>16101.365610688594</v>
      </c>
      <c r="AG29" s="119">
        <f>((AG22+AG23)*$C$84)+((((AG8*AG4)*$C$85/'Constants and Trends'!$A$6)+(('On-Road'!AG9*'On-Road'!AG5)*'On-Road'!$C$87/'Constants and Trends'!$A$6))*'Constants and Trends'!$H$6)+(('On-Road'!AG8*'On-Road'!AG4)*'On-Road'!$C$88/'Constants and Trends'!$A$6)+(('On-Road'!AG9*'On-Road'!AG5)*'On-Road'!$C$90/'Constants and Trends'!$A$6)*'Constants and Trends'!$H$7</f>
        <v>15535.801392695123</v>
      </c>
      <c r="AH29" s="119">
        <f>((AH22+AH23)*$C$84)+((((AH8*AH4)*$C$85/'Constants and Trends'!$A$6)+(('On-Road'!AH9*'On-Road'!AH5)*'On-Road'!$C$87/'Constants and Trends'!$A$6))*'Constants and Trends'!$H$6)+(('On-Road'!AH8*'On-Road'!AH4)*'On-Road'!$C$88/'Constants and Trends'!$A$6)+(('On-Road'!AH9*'On-Road'!AH5)*'On-Road'!$C$90/'Constants and Trends'!$A$6)*'Constants and Trends'!$H$7</f>
        <v>14966.699244416555</v>
      </c>
      <c r="AI29" s="120">
        <f>((AI22+AI23)*$C$84)+((((AI8*AI4)*$C$85/'Constants and Trends'!$A$6)+(('On-Road'!AI9*'On-Road'!AI5)*'On-Road'!$C$87/'Constants and Trends'!$A$6))*'Constants and Trends'!$H$6)+(('On-Road'!AI8*'On-Road'!AI4)*'On-Road'!$C$88/'Constants and Trends'!$A$6)+(('On-Road'!AI9*'On-Road'!AI5)*'On-Road'!$C$90/'Constants and Trends'!$A$6)*'Constants and Trends'!$H$7</f>
        <v>14394.735711712752</v>
      </c>
      <c r="AK29" s="117"/>
    </row>
    <row r="30" spans="1:37" s="116" customFormat="1">
      <c r="A30" s="333"/>
      <c r="B30" s="337"/>
      <c r="C30" s="121" t="s">
        <v>127</v>
      </c>
      <c r="D30" s="119">
        <v>231736.68927119946</v>
      </c>
      <c r="E30" s="119">
        <f>((E25+E24)*$C$72)+((((E10*E4)*$C$73/'Constants and Trends'!$A$6)+(('On-Road'!E11*'On-Road'!E5)*'On-Road'!$C$75/'Constants and Trends'!$A$6))*'Constants and Trends'!$H$6)+(((('On-Road'!E10*'On-Road'!E4)*'On-Road'!$C$77/'Constants and Trends'!$A$6)+(('On-Road'!E11*'On-Road'!E5)*'On-Road'!$C$79/'Constants and Trends'!$A$6))*'Constants and Trends'!$H$7)</f>
        <v>228944.82410196614</v>
      </c>
      <c r="F30" s="119">
        <f>((F25+F24)*$C$72)+((((F10*F4)*$C$73/'Constants and Trends'!$A$6)+(('On-Road'!F11*'On-Road'!F5)*'On-Road'!$C$75/'Constants and Trends'!$A$6))*'Constants and Trends'!$H$6)+(((('On-Road'!F10*'On-Road'!F4)*'On-Road'!$C$77/'Constants and Trends'!$A$6)+(('On-Road'!F11*'On-Road'!F5)*'On-Road'!$C$79/'Constants and Trends'!$A$6))*'Constants and Trends'!$H$7)</f>
        <v>225741.94149965281</v>
      </c>
      <c r="G30" s="119">
        <f>((G25+G24)*$C$72)+((((G10*G4)*$C$73/'Constants and Trends'!$A$6)+(('On-Road'!G11*'On-Road'!G5)*'On-Road'!$C$75/'Constants and Trends'!$A$6))*'Constants and Trends'!$H$6)+(((('On-Road'!G10*'On-Road'!G4)*'On-Road'!$C$77/'Constants and Trends'!$A$6)+(('On-Road'!G11*'On-Road'!G5)*'On-Road'!$C$79/'Constants and Trends'!$A$6))*'Constants and Trends'!$H$7)</f>
        <v>222245.85293641602</v>
      </c>
      <c r="H30" s="119">
        <f>((H25+H24)*$C$72)+((((H10*H4)*$C$73/'Constants and Trends'!$A$6)+(('On-Road'!H11*'On-Road'!H5)*'On-Road'!$C$75/'Constants and Trends'!$A$6))*'Constants and Trends'!$H$6)+(((('On-Road'!H10*'On-Road'!H4)*'On-Road'!$C$77/'Constants and Trends'!$A$6)+(('On-Road'!H11*'On-Road'!H5)*'On-Road'!$C$79/'Constants and Trends'!$A$6))*'Constants and Trends'!$H$7)</f>
        <v>218346.7924530936</v>
      </c>
      <c r="I30" s="119">
        <f>((I25+I24)*$C$72)+((((I10*I4)*$C$73/'Constants and Trends'!$A$6)+(('On-Road'!I11*'On-Road'!I5)*'On-Road'!$C$75/'Constants and Trends'!$A$6))*'Constants and Trends'!$H$6)+(((('On-Road'!I10*'On-Road'!I4)*'On-Road'!$C$77/'Constants and Trends'!$A$6)+(('On-Road'!I11*'On-Road'!I5)*'On-Road'!$C$79/'Constants and Trends'!$A$6))*'Constants and Trends'!$H$7)</f>
        <v>214888.78235976238</v>
      </c>
      <c r="J30" s="119">
        <f>((J25+J24)*$C$72)+((((J10*J4)*$C$73/'Constants and Trends'!$A$6)+(('On-Road'!J11*'On-Road'!J5)*'On-Road'!$C$75/'Constants and Trends'!$A$6))*'Constants and Trends'!$H$6)+(((('On-Road'!J10*'On-Road'!J4)*'On-Road'!$C$77/'Constants and Trends'!$A$6)+(('On-Road'!J11*'On-Road'!J5)*'On-Road'!$C$79/'Constants and Trends'!$A$6))*'Constants and Trends'!$H$7)</f>
        <v>211327.92442447535</v>
      </c>
      <c r="K30" s="119">
        <f>((K25+K24)*$C$72)+((((K10*K4)*$C$73/'Constants and Trends'!$A$6)+(('On-Road'!K11*'On-Road'!K5)*'On-Road'!$C$75/'Constants and Trends'!$A$6))*'Constants and Trends'!$H$6)+(((('On-Road'!K10*'On-Road'!K4)*'On-Road'!$C$77/'Constants and Trends'!$A$6)+(('On-Road'!K11*'On-Road'!K5)*'On-Road'!$C$79/'Constants and Trends'!$A$6))*'Constants and Trends'!$H$7)</f>
        <v>208853.39393261133</v>
      </c>
      <c r="L30" s="119">
        <f>((L25+L24)*$C$72)+((((L10*L4)*$C$73/'Constants and Trends'!$A$6)+(('On-Road'!L11*'On-Road'!L5)*'On-Road'!$C$75/'Constants and Trends'!$A$6))*'Constants and Trends'!$H$6)+(((('On-Road'!L10*'On-Road'!L4)*'On-Road'!$C$77/'Constants and Trends'!$A$6)+(('On-Road'!L11*'On-Road'!L5)*'On-Road'!$C$79/'Constants and Trends'!$A$6))*'Constants and Trends'!$H$7)</f>
        <v>206710.57930006762</v>
      </c>
      <c r="M30" s="119">
        <f>((M25+M24)*$C$72)+((((M10*M4)*$C$73/'Constants and Trends'!$A$6)+(('On-Road'!M11*'On-Road'!M5)*'On-Road'!$C$75/'Constants and Trends'!$A$6))*'Constants and Trends'!$H$6)+(((('On-Road'!M10*'On-Road'!M4)*'On-Road'!$C$77/'Constants and Trends'!$A$6)+(('On-Road'!M11*'On-Road'!M5)*'On-Road'!$C$79/'Constants and Trends'!$A$6))*'Constants and Trends'!$H$7)</f>
        <v>204865.75537009138</v>
      </c>
      <c r="N30" s="119">
        <f>((N25+N24)*$C$72)+((((N10*N4)*$C$73/'Constants and Trends'!$A$6)+(('On-Road'!N11*'On-Road'!N5)*'On-Road'!$C$75/'Constants and Trends'!$A$6))*'Constants and Trends'!$H$6)+(((('On-Road'!N10*'On-Road'!N4)*'On-Road'!$C$77/'Constants and Trends'!$A$6)+(('On-Road'!N11*'On-Road'!N5)*'On-Road'!$C$79/'Constants and Trends'!$A$6))*'Constants and Trends'!$H$7)</f>
        <v>203344.68341816682</v>
      </c>
      <c r="O30" s="119">
        <f>((O25+O24)*$C$72)+((((O10*O4)*$C$73/'Constants and Trends'!$A$6)+(('On-Road'!O11*'On-Road'!O5)*'On-Road'!$C$75/'Constants and Trends'!$A$6))*'Constants and Trends'!$H$6)+(((('On-Road'!O10*'On-Road'!O4)*'On-Road'!$C$77/'Constants and Trends'!$A$6)+(('On-Road'!O11*'On-Road'!O5)*'On-Road'!$C$79/'Constants and Trends'!$A$6))*'Constants and Trends'!$H$7)</f>
        <v>202118.35452882916</v>
      </c>
      <c r="P30" s="119">
        <f>((P25+P24)*$C$72)+((((P10*P4)*$C$73/'Constants and Trends'!$A$6)+(('On-Road'!P11*'On-Road'!P5)*'On-Road'!$C$75/'Constants and Trends'!$A$6))*'Constants and Trends'!$H$6)+(((('On-Road'!P10*'On-Road'!P4)*'On-Road'!$C$77/'Constants and Trends'!$A$6)+(('On-Road'!P11*'On-Road'!P5)*'On-Road'!$C$79/'Constants and Trends'!$A$6))*'Constants and Trends'!$H$7)</f>
        <v>201187.20787322137</v>
      </c>
      <c r="Q30" s="119">
        <f>((Q25+Q24)*$C$72)+((((Q10*Q4)*$C$73/'Constants and Trends'!$A$6)+(('On-Road'!Q11*'On-Road'!Q5)*'On-Road'!$C$75/'Constants and Trends'!$A$6))*'Constants and Trends'!$H$6)+(((('On-Road'!Q10*'On-Road'!Q4)*'On-Road'!$C$77/'Constants and Trends'!$A$6)+(('On-Road'!Q11*'On-Road'!Q5)*'On-Road'!$C$79/'Constants and Trends'!$A$6))*'Constants and Trends'!$H$7)</f>
        <v>200536.94344763222</v>
      </c>
      <c r="R30" s="119">
        <f>((R25+R24)*$C$72)+((((R10*R4)*$C$73/'Constants and Trends'!$A$6)+(('On-Road'!R11*'On-Road'!R5)*'On-Road'!$C$75/'Constants and Trends'!$A$6))*'Constants and Trends'!$H$6)+(((('On-Road'!R10*'On-Road'!R4)*'On-Road'!$C$77/'Constants and Trends'!$A$6)+(('On-Road'!R11*'On-Road'!R5)*'On-Road'!$C$79/'Constants and Trends'!$A$6))*'Constants and Trends'!$H$7)</f>
        <v>200146.91847182898</v>
      </c>
      <c r="S30" s="119">
        <f>((S25+S24)*$C$72)+((((S10*S4)*$C$73/'Constants and Trends'!$A$6)+(('On-Road'!S11*'On-Road'!S5)*'On-Road'!$C$75/'Constants and Trends'!$A$6))*'Constants and Trends'!$H$6)+(((('On-Road'!S10*'On-Road'!S4)*'On-Road'!$C$77/'Constants and Trends'!$A$6)+(('On-Road'!S11*'On-Road'!S5)*'On-Road'!$C$79/'Constants and Trends'!$A$6))*'Constants and Trends'!$H$7)</f>
        <v>199930.32999607304</v>
      </c>
      <c r="T30" s="119">
        <f>((T25+T24)*$C$72)+((((T10*T4)*$C$73/'Constants and Trends'!$A$6)+(('On-Road'!T11*'On-Road'!T5)*'On-Road'!$C$75/'Constants and Trends'!$A$6))*'Constants and Trends'!$H$6)+(((('On-Road'!T10*'On-Road'!T4)*'On-Road'!$C$77/'Constants and Trends'!$A$6)+(('On-Road'!T11*'On-Road'!T5)*'On-Road'!$C$79/'Constants and Trends'!$A$6))*'Constants and Trends'!$H$7)</f>
        <v>199968.38919581717</v>
      </c>
      <c r="U30" s="119">
        <f>((U25+U24)*$C$72)+((((U10*U4)*$C$73/'Constants and Trends'!$A$6)+(('On-Road'!U11*'On-Road'!U5)*'On-Road'!$C$75/'Constants and Trends'!$A$6))*'Constants and Trends'!$H$6)+(((('On-Road'!U10*'On-Road'!U4)*'On-Road'!$C$77/'Constants and Trends'!$A$6)+(('On-Road'!U11*'On-Road'!U5)*'On-Road'!$C$79/'Constants and Trends'!$A$6))*'Constants and Trends'!$H$7)</f>
        <v>200239.05095934554</v>
      </c>
      <c r="V30" s="119">
        <f>((V25+V24)*$C$72)+((((V10*V4)*$C$73/'Constants and Trends'!$A$6)+(('On-Road'!V11*'On-Road'!V5)*'On-Road'!$C$75/'Constants and Trends'!$A$6))*'Constants and Trends'!$H$6)+(((('On-Road'!V10*'On-Road'!V4)*'On-Road'!$C$77/'Constants and Trends'!$A$6)+(('On-Road'!V11*'On-Road'!V5)*'On-Road'!$C$79/'Constants and Trends'!$A$6))*'Constants and Trends'!$H$7)</f>
        <v>200740.81664191582</v>
      </c>
      <c r="W30" s="119">
        <f>((W25+W24)*$C$72)+((((W10*W4)*$C$73/'Constants and Trends'!$A$6)+(('On-Road'!W11*'On-Road'!W5)*'On-Road'!$C$75/'Constants and Trends'!$A$6))*'Constants and Trends'!$H$6)+(((('On-Road'!W10*'On-Road'!W4)*'On-Road'!$C$77/'Constants and Trends'!$A$6)+(('On-Road'!W11*'On-Road'!W5)*'On-Road'!$C$79/'Constants and Trends'!$A$6))*'Constants and Trends'!$H$7)</f>
        <v>201441.9070457583</v>
      </c>
      <c r="X30" s="119">
        <f>((X25+X24)*$C$72)+((((X10*X4)*$C$73/'Constants and Trends'!$A$6)+(('On-Road'!X11*'On-Road'!X5)*'On-Road'!$C$75/'Constants and Trends'!$A$6))*'Constants and Trends'!$H$6)+(((('On-Road'!X10*'On-Road'!X4)*'On-Road'!$C$77/'Constants and Trends'!$A$6)+(('On-Road'!X11*'On-Road'!X5)*'On-Road'!$C$79/'Constants and Trends'!$A$6))*'Constants and Trends'!$H$7)</f>
        <v>202333.38132599686</v>
      </c>
      <c r="Y30" s="119">
        <f>((Y25+Y24)*$C$72)+((((Y10*Y4)*$C$73/'Constants and Trends'!$A$6)+(('On-Road'!Y11*'On-Road'!Y5)*'On-Road'!$C$75/'Constants and Trends'!$A$6))*'Constants and Trends'!$H$6)+(((('On-Road'!Y10*'On-Road'!Y4)*'On-Road'!$C$77/'Constants and Trends'!$A$6)+(('On-Road'!Y11*'On-Road'!Y5)*'On-Road'!$C$79/'Constants and Trends'!$A$6))*'Constants and Trends'!$H$7)</f>
        <v>203383.06056913541</v>
      </c>
      <c r="Z30" s="119">
        <f>((Z25+Z24)*$C$72)+((((Z10*Z4)*$C$73/'Constants and Trends'!$A$6)+(('On-Road'!Z11*'On-Road'!Z5)*'On-Road'!$C$75/'Constants and Trends'!$A$6))*'Constants and Trends'!$H$6)+(((('On-Road'!Z10*'On-Road'!Z4)*'On-Road'!$C$77/'Constants and Trends'!$A$6)+(('On-Road'!Z11*'On-Road'!Z5)*'On-Road'!$C$79/'Constants and Trends'!$A$6))*'Constants and Trends'!$H$7)</f>
        <v>203608.95848120947</v>
      </c>
      <c r="AA30" s="119">
        <f>((AA25+AA24)*$C$72)+((((AA10*AA4)*$C$73/'Constants and Trends'!$A$6)+(('On-Road'!AA11*'On-Road'!AA5)*'On-Road'!$C$75/'Constants and Trends'!$A$6))*'Constants and Trends'!$H$6)+(((('On-Road'!AA10*'On-Road'!AA4)*'On-Road'!$C$77/'Constants and Trends'!$A$6)+(('On-Road'!AA11*'On-Road'!AA5)*'On-Road'!$C$79/'Constants and Trends'!$A$6))*'Constants and Trends'!$H$7)</f>
        <v>203798.94692530733</v>
      </c>
      <c r="AB30" s="119">
        <f>((AB25+AB24)*$C$72)+((((AB10*AB4)*$C$73/'Constants and Trends'!$A$6)+(('On-Road'!AB11*'On-Road'!AB5)*'On-Road'!$C$75/'Constants and Trends'!$A$6))*'Constants and Trends'!$H$6)+(((('On-Road'!AB10*'On-Road'!AB4)*'On-Road'!$C$77/'Constants and Trends'!$A$6)+(('On-Road'!AB11*'On-Road'!AB5)*'On-Road'!$C$79/'Constants and Trends'!$A$6))*'Constants and Trends'!$H$7)</f>
        <v>203920.46399175058</v>
      </c>
      <c r="AC30" s="119">
        <f>((AC25+AC24)*$C$72)+((((AC10*AC4)*$C$73/'Constants and Trends'!$A$6)+(('On-Road'!AC11*'On-Road'!AC5)*'On-Road'!$C$75/'Constants and Trends'!$A$6))*'Constants and Trends'!$H$6)+(((('On-Road'!AC10*'On-Road'!AC4)*'On-Road'!$C$77/'Constants and Trends'!$A$6)+(('On-Road'!AC11*'On-Road'!AC5)*'On-Road'!$C$79/'Constants and Trends'!$A$6))*'Constants and Trends'!$H$7)</f>
        <v>203977.43744025976</v>
      </c>
      <c r="AD30" s="119">
        <f>((AD25+AD24)*$C$72)+((((AD10*AD4)*$C$73/'Constants and Trends'!$A$6)+(('On-Road'!AD11*'On-Road'!AD5)*'On-Road'!$C$75/'Constants and Trends'!$A$6))*'Constants and Trends'!$H$6)+(((('On-Road'!AD10*'On-Road'!AD4)*'On-Road'!$C$77/'Constants and Trends'!$A$6)+(('On-Road'!AD11*'On-Road'!AD5)*'On-Road'!$C$79/'Constants and Trends'!$A$6))*'Constants and Trends'!$H$7)</f>
        <v>203974.69463617544</v>
      </c>
      <c r="AE30" s="119">
        <f>((AE25+AE24)*$C$72)+((((AE10*AE4)*$C$73/'Constants and Trends'!$A$6)+(('On-Road'!AE11*'On-Road'!AE5)*'On-Road'!$C$75/'Constants and Trends'!$A$6))*'Constants and Trends'!$H$6)+(((('On-Road'!AE10*'On-Road'!AE4)*'On-Road'!$C$77/'Constants and Trends'!$A$6)+(('On-Road'!AE11*'On-Road'!AE5)*'On-Road'!$C$79/'Constants and Trends'!$A$6))*'Constants and Trends'!$H$7)</f>
        <v>203917.14425464947</v>
      </c>
      <c r="AF30" s="119">
        <f>((AF25+AF24)*$C$72)+((((AF10*AF4)*$C$73/'Constants and Trends'!$A$6)+(('On-Road'!AF11*'On-Road'!AF5)*'On-Road'!$C$75/'Constants and Trends'!$A$6))*'Constants and Trends'!$H$6)+(((('On-Road'!AF10*'On-Road'!AF4)*'On-Road'!$C$77/'Constants and Trends'!$A$6)+(('On-Road'!AF11*'On-Road'!AF5)*'On-Road'!$C$79/'Constants and Trends'!$A$6))*'Constants and Trends'!$H$7)</f>
        <v>203809.90327541874</v>
      </c>
      <c r="AG30" s="119">
        <f>((AG25+AG24)*$C$72)+((((AG10*AG4)*$C$73/'Constants and Trends'!$A$6)+(('On-Road'!AG11*'On-Road'!AG5)*'On-Road'!$C$75/'Constants and Trends'!$A$6))*'Constants and Trends'!$H$6)+(((('On-Road'!AG10*'On-Road'!AG4)*'On-Road'!$C$77/'Constants and Trends'!$A$6)+(('On-Road'!AG11*'On-Road'!AG5)*'On-Road'!$C$79/'Constants and Trends'!$A$6))*'Constants and Trends'!$H$7)</f>
        <v>203657.43219137349</v>
      </c>
      <c r="AH30" s="119">
        <f>((AH25+AH24)*$C$72)+((((AH10*AH4)*$C$73/'Constants and Trends'!$A$6)+(('On-Road'!AH11*'On-Road'!AH5)*'On-Road'!$C$75/'Constants and Trends'!$A$6))*'Constants and Trends'!$H$6)+(((('On-Road'!AH10*'On-Road'!AH4)*'On-Road'!$C$77/'Constants and Trends'!$A$6)+(('On-Road'!AH11*'On-Road'!AH5)*'On-Road'!$C$79/'Constants and Trends'!$A$6))*'Constants and Trends'!$H$7)</f>
        <v>203465.04801950898</v>
      </c>
      <c r="AI30" s="120">
        <f>((AI25+AI24)*$C$72)+((((AI10*AI4)*$C$73/'Constants and Trends'!$A$6)+(('On-Road'!AI11*'On-Road'!AI5)*'On-Road'!$C$75/'Constants and Trends'!$A$6))*'Constants and Trends'!$H$6)+(((('On-Road'!AI10*'On-Road'!AI4)*'On-Road'!$C$77/'Constants and Trends'!$A$6)+(('On-Road'!AI11*'On-Road'!AI5)*'On-Road'!$C$79/'Constants and Trends'!$A$6))*'Constants and Trends'!$H$7)</f>
        <v>203237.66771485118</v>
      </c>
      <c r="AK30" s="117"/>
    </row>
    <row r="31" spans="1:37" s="116" customFormat="1" ht="15.75" thickBot="1">
      <c r="A31" s="333"/>
      <c r="B31" s="338"/>
      <c r="C31" s="121" t="s">
        <v>23</v>
      </c>
      <c r="D31" s="119">
        <v>2028.6630420420004</v>
      </c>
      <c r="E31" s="119">
        <f>((((E12*E4)*$C$95/'Constants and Trends'!$A$6)+(('On-Road'!E13*'On-Road'!E5)*'On-Road'!$C$96/'Constants and Trends'!$A$6))*'Constants and Trends'!$H$6)+(((('On-Road'!E12*'On-Road'!E4)*'On-Road'!$C$97/'Constants and Trends'!$A$6)+(('On-Road'!E13*'On-Road'!E5)*'On-Road'!$C$98/'Constants and Trends'!$A$6))*'Constants and Trends'!$H$7)</f>
        <v>1210.8325209207396</v>
      </c>
      <c r="F31" s="119">
        <f>((((F12*F4)*$C$95/'Constants and Trends'!$A$6)+(('On-Road'!F13*'On-Road'!F5)*'On-Road'!$C$96/'Constants and Trends'!$A$6))*'Constants and Trends'!$H$6)+(((('On-Road'!F12*'On-Road'!F4)*'On-Road'!$C$97/'Constants and Trends'!$A$6)+(('On-Road'!F13*'On-Road'!F5)*'On-Road'!$C$98/'Constants and Trends'!$A$6))*'Constants and Trends'!$H$7)</f>
        <v>1208.4691777835751</v>
      </c>
      <c r="G31" s="119">
        <f>((((G12*G4)*$C$95/'Constants and Trends'!$A$6)+(('On-Road'!G13*'On-Road'!G5)*'On-Road'!$C$96/'Constants and Trends'!$A$6))*'Constants and Trends'!$H$6)+(((('On-Road'!G12*'On-Road'!G4)*'On-Road'!$C$97/'Constants and Trends'!$A$6)+(('On-Road'!G13*'On-Road'!G5)*'On-Road'!$C$98/'Constants and Trends'!$A$6))*'Constants and Trends'!$H$7)</f>
        <v>1206.0571670815311</v>
      </c>
      <c r="H31" s="119">
        <f>((((H12*H4)*$C$95/'Constants and Trends'!$A$6)+(('On-Road'!H13*'On-Road'!H5)*'On-Road'!$C$96/'Constants and Trends'!$A$6))*'Constants and Trends'!$H$6)+(((('On-Road'!H12*'On-Road'!H4)*'On-Road'!$C$97/'Constants and Trends'!$A$6)+(('On-Road'!H13*'On-Road'!H5)*'On-Road'!$C$98/'Constants and Trends'!$A$6))*'Constants and Trends'!$H$7)</f>
        <v>1203.1894970731307</v>
      </c>
      <c r="I31" s="119">
        <f>((((I12*I4)*$C$95/'Constants and Trends'!$A$6)+(('On-Road'!I13*'On-Road'!I5)*'On-Road'!$C$96/'Constants and Trends'!$A$6))*'Constants and Trends'!$H$6)+(((('On-Road'!I12*'On-Road'!I4)*'On-Road'!$C$97/'Constants and Trends'!$A$6)+(('On-Road'!I13*'On-Road'!I5)*'On-Road'!$C$98/'Constants and Trends'!$A$6))*'Constants and Trends'!$H$7)</f>
        <v>1203.297475573524</v>
      </c>
      <c r="J31" s="119">
        <f>((((J12*J4)*$C$95/'Constants and Trends'!$A$6)+(('On-Road'!J13*'On-Road'!J5)*'On-Road'!$C$96/'Constants and Trends'!$A$6))*'Constants and Trends'!$H$6)+(((('On-Road'!J12*'On-Road'!J4)*'On-Road'!$C$97/'Constants and Trends'!$A$6)+(('On-Road'!J13*'On-Road'!J5)*'On-Road'!$C$98/'Constants and Trends'!$A$6))*'Constants and Trends'!$H$7)</f>
        <v>1204.0733182671343</v>
      </c>
      <c r="K31" s="119">
        <f>((((K12*K4)*$C$95/'Constants and Trends'!$A$6)+(('On-Road'!K13*'On-Road'!K5)*'On-Road'!$C$96/'Constants and Trends'!$A$6))*'Constants and Trends'!$H$6)+(((('On-Road'!K12*'On-Road'!K4)*'On-Road'!$C$97/'Constants and Trends'!$A$6)+(('On-Road'!K13*'On-Road'!K5)*'On-Road'!$C$98/'Constants and Trends'!$A$6))*'Constants and Trends'!$H$7)</f>
        <v>1209.0291502639279</v>
      </c>
      <c r="L31" s="119">
        <f>((((L12*L4)*$C$95/'Constants and Trends'!$A$6)+(('On-Road'!L13*'On-Road'!L5)*'On-Road'!$C$96/'Constants and Trends'!$A$6))*'Constants and Trends'!$H$6)+(((('On-Road'!L12*'On-Road'!L4)*'On-Road'!$C$97/'Constants and Trends'!$A$6)+(('On-Road'!L13*'On-Road'!L5)*'On-Road'!$C$98/'Constants and Trends'!$A$6))*'Constants and Trends'!$H$7)</f>
        <v>1214.1648248010504</v>
      </c>
      <c r="M31" s="119">
        <f>((((M12*M4)*$C$95/'Constants and Trends'!$A$6)+(('On-Road'!M13*'On-Road'!M5)*'On-Road'!$C$96/'Constants and Trends'!$A$6))*'Constants and Trends'!$H$6)+(((('On-Road'!M12*'On-Road'!M4)*'On-Road'!$C$97/'Constants and Trends'!$A$6)+(('On-Road'!M13*'On-Road'!M5)*'On-Road'!$C$98/'Constants and Trends'!$A$6))*'Constants and Trends'!$H$7)</f>
        <v>1218.7829366545297</v>
      </c>
      <c r="N31" s="119">
        <f>((((N12*N4)*$C$95/'Constants and Trends'!$A$6)+(('On-Road'!N13*'On-Road'!N5)*'On-Road'!$C$96/'Constants and Trends'!$A$6))*'Constants and Trends'!$H$6)+(((('On-Road'!N12*'On-Road'!N4)*'On-Road'!$C$97/'Constants and Trends'!$A$6)+(('On-Road'!N13*'On-Road'!N5)*'On-Road'!$C$98/'Constants and Trends'!$A$6))*'Constants and Trends'!$H$7)</f>
        <v>1222.8726062527483</v>
      </c>
      <c r="O31" s="119">
        <f>((((O12*O4)*$C$95/'Constants and Trends'!$A$6)+(('On-Road'!O13*'On-Road'!O5)*'On-Road'!$C$96/'Constants and Trends'!$A$6))*'Constants and Trends'!$H$6)+(((('On-Road'!O12*'On-Road'!O4)*'On-Road'!$C$97/'Constants and Trends'!$A$6)+(('On-Road'!O13*'On-Road'!O5)*'On-Road'!$C$98/'Constants and Trends'!$A$6))*'Constants and Trends'!$H$7)</f>
        <v>1226.4182940243386</v>
      </c>
      <c r="P31" s="119">
        <f>((((P12*P4)*$C$95/'Constants and Trends'!$A$6)+(('On-Road'!P13*'On-Road'!P5)*'On-Road'!$C$96/'Constants and Trends'!$A$6))*'Constants and Trends'!$H$6)+(((('On-Road'!P12*'On-Road'!P4)*'On-Road'!$C$97/'Constants and Trends'!$A$6)+(('On-Road'!P13*'On-Road'!P5)*'On-Road'!$C$98/'Constants and Trends'!$A$6))*'Constants and Trends'!$H$7)</f>
        <v>1229.4176441229779</v>
      </c>
      <c r="Q31" s="119">
        <f>((((Q12*Q4)*$C$95/'Constants and Trends'!$A$6)+(('On-Road'!Q13*'On-Road'!Q5)*'On-Road'!$C$96/'Constants and Trends'!$A$6))*'Constants and Trends'!$H$6)+(((('On-Road'!Q12*'On-Road'!Q4)*'On-Road'!$C$97/'Constants and Trends'!$A$6)+(('On-Road'!Q13*'On-Road'!Q5)*'On-Road'!$C$98/'Constants and Trends'!$A$6))*'Constants and Trends'!$H$7)</f>
        <v>1231.8317838171413</v>
      </c>
      <c r="R31" s="119">
        <f>((((R12*R4)*$C$95/'Constants and Trends'!$A$6)+(('On-Road'!R13*'On-Road'!R5)*'On-Road'!$C$96/'Constants and Trends'!$A$6))*'Constants and Trends'!$H$6)+(((('On-Road'!R12*'On-Road'!R4)*'On-Road'!$C$97/'Constants and Trends'!$A$6)+(('On-Road'!R13*'On-Road'!R5)*'On-Road'!$C$98/'Constants and Trends'!$A$6))*'Constants and Trends'!$H$7)</f>
        <v>1233.6340093333495</v>
      </c>
      <c r="S31" s="119">
        <f>((((S12*S4)*$C$95/'Constants and Trends'!$A$6)+(('On-Road'!S13*'On-Road'!S5)*'On-Road'!$C$96/'Constants and Trends'!$A$6))*'Constants and Trends'!$H$6)+(((('On-Road'!S12*'On-Road'!S4)*'On-Road'!$C$97/'Constants and Trends'!$A$6)+(('On-Road'!S13*'On-Road'!S5)*'On-Road'!$C$98/'Constants and Trends'!$A$6))*'Constants and Trends'!$H$7)</f>
        <v>1234.404983740751</v>
      </c>
      <c r="T31" s="119">
        <f>((((T12*T4)*$C$95/'Constants and Trends'!$A$6)+(('On-Road'!T13*'On-Road'!T5)*'On-Road'!$C$96/'Constants and Trends'!$A$6))*'Constants and Trends'!$H$6)+(((('On-Road'!T12*'On-Road'!T4)*'On-Road'!$C$97/'Constants and Trends'!$A$6)+(('On-Road'!T13*'On-Road'!T5)*'On-Road'!$C$98/'Constants and Trends'!$A$6))*'Constants and Trends'!$H$7)</f>
        <v>1234.5019197725674</v>
      </c>
      <c r="U31" s="119">
        <f>((((U12*U4)*$C$95/'Constants and Trends'!$A$6)+(('On-Road'!U13*'On-Road'!U5)*'On-Road'!$C$96/'Constants and Trends'!$A$6))*'Constants and Trends'!$H$6)+(((('On-Road'!U12*'On-Road'!U4)*'On-Road'!$C$97/'Constants and Trends'!$A$6)+(('On-Road'!U13*'On-Road'!U5)*'On-Road'!$C$98/'Constants and Trends'!$A$6))*'Constants and Trends'!$H$7)</f>
        <v>1233.8943301833501</v>
      </c>
      <c r="V31" s="119">
        <f>((((V12*V4)*$C$95/'Constants and Trends'!$A$6)+(('On-Road'!V13*'On-Road'!V5)*'On-Road'!$C$96/'Constants and Trends'!$A$6))*'Constants and Trends'!$H$6)+(((('On-Road'!V12*'On-Road'!V4)*'On-Road'!$C$97/'Constants and Trends'!$A$6)+(('On-Road'!V13*'On-Road'!V5)*'On-Road'!$C$98/'Constants and Trends'!$A$6))*'Constants and Trends'!$H$7)</f>
        <v>1232.5639850916766</v>
      </c>
      <c r="W31" s="119">
        <f>((((W12*W4)*$C$95/'Constants and Trends'!$A$6)+(('On-Road'!W13*'On-Road'!W5)*'On-Road'!$C$96/'Constants and Trends'!$A$6))*'Constants and Trends'!$H$6)+(((('On-Road'!W12*'On-Road'!W4)*'On-Road'!$C$97/'Constants and Trends'!$A$6)+(('On-Road'!W13*'On-Road'!W5)*'On-Road'!$C$98/'Constants and Trends'!$A$6))*'Constants and Trends'!$H$7)</f>
        <v>1230.4832701281489</v>
      </c>
      <c r="X31" s="119">
        <f>((((X12*X4)*$C$95/'Constants and Trends'!$A$6)+(('On-Road'!X13*'On-Road'!X5)*'On-Road'!$C$96/'Constants and Trends'!$A$6))*'Constants and Trends'!$H$6)+(((('On-Road'!X12*'On-Road'!X4)*'On-Road'!$C$97/'Constants and Trends'!$A$6)+(('On-Road'!X13*'On-Road'!X5)*'On-Road'!$C$98/'Constants and Trends'!$A$6))*'Constants and Trends'!$H$7)</f>
        <v>1227.6297269579852</v>
      </c>
      <c r="Y31" s="119">
        <f>((((Y12*Y4)*$C$95/'Constants and Trends'!$A$6)+(('On-Road'!Y13*'On-Road'!Y5)*'On-Road'!$C$96/'Constants and Trends'!$A$6))*'Constants and Trends'!$H$6)+(((('On-Road'!Y12*'On-Road'!Y4)*'On-Road'!$C$97/'Constants and Trends'!$A$6)+(('On-Road'!Y13*'On-Road'!Y5)*'On-Road'!$C$98/'Constants and Trends'!$A$6))*'Constants and Trends'!$H$7)</f>
        <v>1223.9862804664763</v>
      </c>
      <c r="Z31" s="119">
        <f>((((Z12*Z4)*$C$95/'Constants and Trends'!$A$6)+(('On-Road'!Z13*'On-Road'!Z5)*'On-Road'!$C$96/'Constants and Trends'!$A$6))*'Constants and Trends'!$H$6)+(((('On-Road'!Z12*'On-Road'!Z4)*'On-Road'!$C$97/'Constants and Trends'!$A$6)+(('On-Road'!Z13*'On-Road'!Z5)*'On-Road'!$C$98/'Constants and Trends'!$A$6))*'Constants and Trends'!$H$7)</f>
        <v>1219.4319983871708</v>
      </c>
      <c r="AA31" s="119">
        <f>((((AA12*AA4)*$C$95/'Constants and Trends'!$A$6)+(('On-Road'!AA13*'On-Road'!AA5)*'On-Road'!$C$96/'Constants and Trends'!$A$6))*'Constants and Trends'!$H$6)+(((('On-Road'!AA12*'On-Road'!AA4)*'On-Road'!$C$97/'Constants and Trends'!$A$6)+(('On-Road'!AA13*'On-Road'!AA5)*'On-Road'!$C$98/'Constants and Trends'!$A$6))*'Constants and Trends'!$H$7)</f>
        <v>1214.2314507671485</v>
      </c>
      <c r="AB31" s="119">
        <f>((((AB12*AB4)*$C$95/'Constants and Trends'!$A$6)+(('On-Road'!AB13*'On-Road'!AB5)*'On-Road'!$C$96/'Constants and Trends'!$A$6))*'Constants and Trends'!$H$6)+(((('On-Road'!AB12*'On-Road'!AB4)*'On-Road'!$C$97/'Constants and Trends'!$A$6)+(('On-Road'!AB13*'On-Road'!AB5)*'On-Road'!$C$98/'Constants and Trends'!$A$6))*'Constants and Trends'!$H$7)</f>
        <v>1208.2288618837881</v>
      </c>
      <c r="AC31" s="119">
        <f>((((AC12*AC4)*$C$95/'Constants and Trends'!$A$6)+(('On-Road'!AC13*'On-Road'!AC5)*'On-Road'!$C$96/'Constants and Trends'!$A$6))*'Constants and Trends'!$H$6)+(((('On-Road'!AC12*'On-Road'!AC4)*'On-Road'!$C$97/'Constants and Trends'!$A$6)+(('On-Road'!AC13*'On-Road'!AC5)*'On-Road'!$C$98/'Constants and Trends'!$A$6))*'Constants and Trends'!$H$7)</f>
        <v>1201.4443576914437</v>
      </c>
      <c r="AD31" s="119">
        <f>((((AD12*AD4)*$C$95/'Constants and Trends'!$A$6)+(('On-Road'!AD13*'On-Road'!AD5)*'On-Road'!$C$96/'Constants and Trends'!$A$6))*'Constants and Trends'!$H$6)+(((('On-Road'!AD12*'On-Road'!AD4)*'On-Road'!$C$97/'Constants and Trends'!$A$6)+(('On-Road'!AD13*'On-Road'!AD5)*'On-Road'!$C$98/'Constants and Trends'!$A$6))*'Constants and Trends'!$H$7)</f>
        <v>1193.9033554178518</v>
      </c>
      <c r="AE31" s="119">
        <f>((((AE12*AE4)*$C$95/'Constants and Trends'!$A$6)+(('On-Road'!AE13*'On-Road'!AE5)*'On-Road'!$C$96/'Constants and Trends'!$A$6))*'Constants and Trends'!$H$6)+(((('On-Road'!AE12*'On-Road'!AE4)*'On-Road'!$C$97/'Constants and Trends'!$A$6)+(('On-Road'!AE13*'On-Road'!AE5)*'On-Road'!$C$98/'Constants and Trends'!$A$6))*'Constants and Trends'!$H$7)</f>
        <v>1185.6315793813399</v>
      </c>
      <c r="AF31" s="119">
        <f>((((AF12*AF4)*$C$95/'Constants and Trends'!$A$6)+(('On-Road'!AF13*'On-Road'!AF5)*'On-Road'!$C$96/'Constants and Trends'!$A$6))*'Constants and Trends'!$H$6)+(((('On-Road'!AF12*'On-Road'!AF4)*'On-Road'!$C$97/'Constants and Trends'!$A$6)+(('On-Road'!AF13*'On-Road'!AF5)*'On-Road'!$C$98/'Constants and Trends'!$A$6))*'Constants and Trends'!$H$7)</f>
        <v>1176.6557046800303</v>
      </c>
      <c r="AG31" s="119">
        <f>((((AG12*AG4)*$C$95/'Constants and Trends'!$A$6)+(('On-Road'!AG13*'On-Road'!AG5)*'On-Road'!$C$96/'Constants and Trends'!$A$6))*'Constants and Trends'!$H$6)+(((('On-Road'!AG12*'On-Road'!AG4)*'On-Road'!$C$97/'Constants and Trends'!$A$6)+(('On-Road'!AG13*'On-Road'!AG5)*'On-Road'!$C$98/'Constants and Trends'!$A$6))*'Constants and Trends'!$H$7)</f>
        <v>1166.9982784901354</v>
      </c>
      <c r="AH31" s="119">
        <f>((((AH12*AH4)*$C$95/'Constants and Trends'!$A$6)+(('On-Road'!AH13*'On-Road'!AH5)*'On-Road'!$C$96/'Constants and Trends'!$A$6))*'Constants and Trends'!$H$6)+(((('On-Road'!AH12*'On-Road'!AH4)*'On-Road'!$C$97/'Constants and Trends'!$A$6)+(('On-Road'!AH13*'On-Road'!AH5)*'On-Road'!$C$98/'Constants and Trends'!$A$6))*'Constants and Trends'!$H$7)</f>
        <v>1156.6863830717252</v>
      </c>
      <c r="AI31" s="120">
        <f>((((AI12*AI4)*$C$95/'Constants and Trends'!$A$6)+(('On-Road'!AI13*'On-Road'!AI5)*'On-Road'!$C$96/'Constants and Trends'!$A$6))*'Constants and Trends'!$H$6)+(((('On-Road'!AI12*'On-Road'!AI4)*'On-Road'!$C$97/'Constants and Trends'!$A$6)+(('On-Road'!AI13*'On-Road'!AI5)*'On-Road'!$C$98/'Constants and Trends'!$A$6))*'Constants and Trends'!$H$7)</f>
        <v>1145.7442716884411</v>
      </c>
      <c r="AK31" s="133"/>
    </row>
    <row r="32" spans="1:37" s="116" customFormat="1">
      <c r="A32" s="333"/>
      <c r="B32" s="339" t="s">
        <v>128</v>
      </c>
      <c r="C32" s="134" t="s">
        <v>129</v>
      </c>
      <c r="D32" s="135">
        <f t="shared" ref="D32:AI32" si="15">D28</f>
        <v>2186.1885631079704</v>
      </c>
      <c r="E32" s="135">
        <f>E28</f>
        <v>1421.7123089348067</v>
      </c>
      <c r="F32" s="135">
        <f t="shared" si="15"/>
        <v>1777.4817309878836</v>
      </c>
      <c r="G32" s="135">
        <f t="shared" si="15"/>
        <v>1999.4887717095842</v>
      </c>
      <c r="H32" s="135">
        <f t="shared" si="15"/>
        <v>2162.352663832532</v>
      </c>
      <c r="I32" s="135">
        <f t="shared" si="15"/>
        <v>2273.3264764694868</v>
      </c>
      <c r="J32" s="135">
        <f t="shared" si="15"/>
        <v>2329.2978171047844</v>
      </c>
      <c r="K32" s="135">
        <f t="shared" si="15"/>
        <v>2337.5855790919759</v>
      </c>
      <c r="L32" s="135">
        <f t="shared" si="15"/>
        <v>2290.5080235641585</v>
      </c>
      <c r="M32" s="135">
        <f t="shared" si="15"/>
        <v>2186.6790276127863</v>
      </c>
      <c r="N32" s="135">
        <f t="shared" si="15"/>
        <v>2026.2393315109243</v>
      </c>
      <c r="O32" s="135">
        <f t="shared" si="15"/>
        <v>1809.5387985015834</v>
      </c>
      <c r="P32" s="135">
        <f t="shared" si="15"/>
        <v>1865.6663097602907</v>
      </c>
      <c r="Q32" s="135">
        <f t="shared" si="15"/>
        <v>1908.5127703755302</v>
      </c>
      <c r="R32" s="135">
        <f t="shared" si="15"/>
        <v>1937.5868651301878</v>
      </c>
      <c r="S32" s="135">
        <f t="shared" si="15"/>
        <v>1951.7995700716244</v>
      </c>
      <c r="T32" s="135">
        <f t="shared" si="15"/>
        <v>1951.3163946980699</v>
      </c>
      <c r="U32" s="135">
        <f t="shared" si="15"/>
        <v>1935.7316973819427</v>
      </c>
      <c r="V32" s="135">
        <f t="shared" si="15"/>
        <v>1904.6904859205706</v>
      </c>
      <c r="W32" s="135">
        <f t="shared" si="15"/>
        <v>1857.8555226442459</v>
      </c>
      <c r="X32" s="135">
        <f t="shared" si="15"/>
        <v>1794.9313737846846</v>
      </c>
      <c r="Y32" s="135">
        <f t="shared" si="15"/>
        <v>1715.6652049364668</v>
      </c>
      <c r="Z32" s="135">
        <f t="shared" si="15"/>
        <v>1623.1409181930139</v>
      </c>
      <c r="AA32" s="135">
        <f t="shared" si="15"/>
        <v>1513.7620505314537</v>
      </c>
      <c r="AB32" s="135">
        <f t="shared" si="15"/>
        <v>1387.2065378812888</v>
      </c>
      <c r="AC32" s="135">
        <f t="shared" si="15"/>
        <v>1243.1784337264257</v>
      </c>
      <c r="AD32" s="135">
        <f t="shared" si="15"/>
        <v>1081.4016487852632</v>
      </c>
      <c r="AE32" s="135">
        <f t="shared" si="15"/>
        <v>901.61035481272302</v>
      </c>
      <c r="AF32" s="135">
        <f t="shared" si="15"/>
        <v>703.54606997788812</v>
      </c>
      <c r="AG32" s="135">
        <f t="shared" si="15"/>
        <v>486.95127353342298</v>
      </c>
      <c r="AH32" s="135">
        <f t="shared" si="15"/>
        <v>251.57147110985991</v>
      </c>
      <c r="AI32" s="136">
        <f t="shared" si="15"/>
        <v>0</v>
      </c>
      <c r="AK32" s="117"/>
    </row>
    <row r="33" spans="1:252" s="116" customFormat="1">
      <c r="A33" s="333"/>
      <c r="B33" s="340"/>
      <c r="C33" s="134" t="s">
        <v>130</v>
      </c>
      <c r="D33" s="135">
        <v>38007.369272051488</v>
      </c>
      <c r="E33" s="135">
        <f>SUM(E29)</f>
        <v>35941.667590054181</v>
      </c>
      <c r="F33" s="135">
        <f t="shared" ref="F33:AI33" si="16">SUM(F29)</f>
        <v>34878.280652087662</v>
      </c>
      <c r="G33" s="135">
        <f t="shared" si="16"/>
        <v>33760.450099784175</v>
      </c>
      <c r="H33" s="135">
        <f t="shared" si="16"/>
        <v>32575.401912095207</v>
      </c>
      <c r="I33" s="135">
        <f t="shared" si="16"/>
        <v>31451.223255714005</v>
      </c>
      <c r="J33" s="135">
        <f t="shared" si="16"/>
        <v>30309.916465442733</v>
      </c>
      <c r="K33" s="135">
        <f t="shared" si="16"/>
        <v>29321.112690173075</v>
      </c>
      <c r="L33" s="135">
        <f t="shared" si="16"/>
        <v>28376.559197252274</v>
      </c>
      <c r="M33" s="135">
        <f t="shared" si="16"/>
        <v>27473.801814171562</v>
      </c>
      <c r="N33" s="135">
        <f t="shared" si="16"/>
        <v>26618.864592259972</v>
      </c>
      <c r="O33" s="135">
        <f t="shared" si="16"/>
        <v>25810.203721067825</v>
      </c>
      <c r="P33" s="135">
        <f t="shared" si="16"/>
        <v>25049.55864301727</v>
      </c>
      <c r="Q33" s="135">
        <f t="shared" si="16"/>
        <v>24336.011238913768</v>
      </c>
      <c r="R33" s="135">
        <f t="shared" si="16"/>
        <v>23667.083961200045</v>
      </c>
      <c r="S33" s="135">
        <f t="shared" si="16"/>
        <v>23031.922327926488</v>
      </c>
      <c r="T33" s="135">
        <f t="shared" si="16"/>
        <v>22438.672375380807</v>
      </c>
      <c r="U33" s="135">
        <f t="shared" si="16"/>
        <v>21882.440352455218</v>
      </c>
      <c r="V33" s="135">
        <f t="shared" si="16"/>
        <v>21360.202193062127</v>
      </c>
      <c r="W33" s="135">
        <f t="shared" si="16"/>
        <v>20865.384563090262</v>
      </c>
      <c r="X33" s="135">
        <f t="shared" si="16"/>
        <v>20393.891392154092</v>
      </c>
      <c r="Y33" s="135">
        <f t="shared" si="16"/>
        <v>19939.359822330054</v>
      </c>
      <c r="Z33" s="135">
        <f t="shared" si="16"/>
        <v>19375.8724927572</v>
      </c>
      <c r="AA33" s="135">
        <f t="shared" si="16"/>
        <v>18848.599820364761</v>
      </c>
      <c r="AB33" s="135">
        <f t="shared" si="16"/>
        <v>18312.740643708927</v>
      </c>
      <c r="AC33" s="135">
        <f t="shared" si="16"/>
        <v>17769.183330970747</v>
      </c>
      <c r="AD33" s="135">
        <f t="shared" si="16"/>
        <v>17218.852731513423</v>
      </c>
      <c r="AE33" s="135">
        <f t="shared" si="16"/>
        <v>16662.630882724668</v>
      </c>
      <c r="AF33" s="135">
        <f t="shared" si="16"/>
        <v>16101.365610688594</v>
      </c>
      <c r="AG33" s="135">
        <f t="shared" si="16"/>
        <v>15535.801392695123</v>
      </c>
      <c r="AH33" s="135">
        <f t="shared" si="16"/>
        <v>14966.699244416555</v>
      </c>
      <c r="AI33" s="136">
        <f t="shared" si="16"/>
        <v>14394.735711712752</v>
      </c>
      <c r="AK33" s="117"/>
    </row>
    <row r="34" spans="1:252" s="116" customFormat="1">
      <c r="A34" s="333"/>
      <c r="B34" s="340"/>
      <c r="C34" s="134" t="s">
        <v>131</v>
      </c>
      <c r="D34" s="135">
        <v>232040.36958495961</v>
      </c>
      <c r="E34" s="135">
        <f>SUM(E30,E31)</f>
        <v>230155.65662288689</v>
      </c>
      <c r="F34" s="135">
        <f t="shared" ref="F34:AI34" si="17">SUM(F30,F31)</f>
        <v>226950.41067743639</v>
      </c>
      <c r="G34" s="135">
        <f t="shared" si="17"/>
        <v>223451.91010349756</v>
      </c>
      <c r="H34" s="135">
        <f t="shared" si="17"/>
        <v>219549.98195016672</v>
      </c>
      <c r="I34" s="135">
        <f t="shared" si="17"/>
        <v>216092.0798353359</v>
      </c>
      <c r="J34" s="135">
        <f t="shared" si="17"/>
        <v>212531.99774274247</v>
      </c>
      <c r="K34" s="135">
        <f t="shared" si="17"/>
        <v>210062.42308287526</v>
      </c>
      <c r="L34" s="135">
        <f t="shared" si="17"/>
        <v>207924.74412486868</v>
      </c>
      <c r="M34" s="135">
        <f t="shared" si="17"/>
        <v>206084.5383067459</v>
      </c>
      <c r="N34" s="135">
        <f t="shared" si="17"/>
        <v>204567.55602441958</v>
      </c>
      <c r="O34" s="135">
        <f t="shared" si="17"/>
        <v>203344.7728228535</v>
      </c>
      <c r="P34" s="135">
        <f t="shared" si="17"/>
        <v>202416.62551734434</v>
      </c>
      <c r="Q34" s="135">
        <f t="shared" si="17"/>
        <v>201768.77523144937</v>
      </c>
      <c r="R34" s="135">
        <f t="shared" si="17"/>
        <v>201380.55248116233</v>
      </c>
      <c r="S34" s="135">
        <f t="shared" si="17"/>
        <v>201164.7349798138</v>
      </c>
      <c r="T34" s="135">
        <f t="shared" si="17"/>
        <v>201202.89111558974</v>
      </c>
      <c r="U34" s="135">
        <f t="shared" si="17"/>
        <v>201472.9452895289</v>
      </c>
      <c r="V34" s="135">
        <f t="shared" si="17"/>
        <v>201973.38062700749</v>
      </c>
      <c r="W34" s="135">
        <f t="shared" si="17"/>
        <v>202672.39031588644</v>
      </c>
      <c r="X34" s="135">
        <f t="shared" si="17"/>
        <v>203561.01105295485</v>
      </c>
      <c r="Y34" s="135">
        <f t="shared" si="17"/>
        <v>204607.0468496019</v>
      </c>
      <c r="Z34" s="135">
        <f t="shared" si="17"/>
        <v>204828.39047959665</v>
      </c>
      <c r="AA34" s="135">
        <f t="shared" si="17"/>
        <v>205013.17837607447</v>
      </c>
      <c r="AB34" s="135">
        <f t="shared" si="17"/>
        <v>205128.69285363436</v>
      </c>
      <c r="AC34" s="135">
        <f t="shared" si="17"/>
        <v>205178.88179795121</v>
      </c>
      <c r="AD34" s="135">
        <f t="shared" si="17"/>
        <v>205168.5979915933</v>
      </c>
      <c r="AE34" s="135">
        <f t="shared" si="17"/>
        <v>205102.77583403079</v>
      </c>
      <c r="AF34" s="135">
        <f t="shared" si="17"/>
        <v>204986.55898009878</v>
      </c>
      <c r="AG34" s="135">
        <f t="shared" si="17"/>
        <v>204824.43046986361</v>
      </c>
      <c r="AH34" s="135">
        <f t="shared" si="17"/>
        <v>204621.73440258071</v>
      </c>
      <c r="AI34" s="136">
        <f t="shared" si="17"/>
        <v>204383.41198653964</v>
      </c>
      <c r="AK34" s="117"/>
    </row>
    <row r="35" spans="1:252" s="116" customFormat="1" ht="15.75" thickBot="1">
      <c r="A35" s="336"/>
      <c r="B35" s="341"/>
      <c r="C35" s="137" t="s">
        <v>132</v>
      </c>
      <c r="D35" s="244">
        <f t="shared" ref="D35:AI35" si="18">SUM(D32:D34)</f>
        <v>272233.92742011906</v>
      </c>
      <c r="E35" s="244">
        <f t="shared" si="18"/>
        <v>267519.03652187588</v>
      </c>
      <c r="F35" s="244">
        <f t="shared" si="18"/>
        <v>263606.17306051194</v>
      </c>
      <c r="G35" s="244">
        <f t="shared" si="18"/>
        <v>259211.84897499133</v>
      </c>
      <c r="H35" s="244">
        <f t="shared" si="18"/>
        <v>254287.73652609446</v>
      </c>
      <c r="I35" s="244">
        <f t="shared" si="18"/>
        <v>249816.62956751938</v>
      </c>
      <c r="J35" s="244">
        <f t="shared" si="18"/>
        <v>245171.21202529001</v>
      </c>
      <c r="K35" s="244">
        <f t="shared" si="18"/>
        <v>241721.12135214033</v>
      </c>
      <c r="L35" s="244">
        <f t="shared" si="18"/>
        <v>238591.8113456851</v>
      </c>
      <c r="M35" s="244">
        <f t="shared" si="18"/>
        <v>235745.01914853026</v>
      </c>
      <c r="N35" s="244">
        <f t="shared" si="18"/>
        <v>233212.65994819047</v>
      </c>
      <c r="O35" s="244">
        <f t="shared" si="18"/>
        <v>230964.51534242291</v>
      </c>
      <c r="P35" s="244">
        <f t="shared" si="18"/>
        <v>229331.85047012189</v>
      </c>
      <c r="Q35" s="244">
        <f t="shared" si="18"/>
        <v>228013.29924073868</v>
      </c>
      <c r="R35" s="244">
        <f t="shared" si="18"/>
        <v>226985.22330749256</v>
      </c>
      <c r="S35" s="244">
        <f t="shared" si="18"/>
        <v>226148.45687781193</v>
      </c>
      <c r="T35" s="244">
        <f t="shared" si="18"/>
        <v>225592.8798856686</v>
      </c>
      <c r="U35" s="244">
        <f t="shared" si="18"/>
        <v>225291.11733936606</v>
      </c>
      <c r="V35" s="244">
        <f t="shared" si="18"/>
        <v>225238.27330599018</v>
      </c>
      <c r="W35" s="244">
        <f t="shared" si="18"/>
        <v>225395.63040162093</v>
      </c>
      <c r="X35" s="244">
        <f t="shared" si="18"/>
        <v>225749.83381889365</v>
      </c>
      <c r="Y35" s="244">
        <f t="shared" si="18"/>
        <v>226262.07187686843</v>
      </c>
      <c r="Z35" s="244">
        <f t="shared" si="18"/>
        <v>225827.40389054688</v>
      </c>
      <c r="AA35" s="244">
        <f t="shared" si="18"/>
        <v>225375.54024697069</v>
      </c>
      <c r="AB35" s="244">
        <f t="shared" si="18"/>
        <v>224828.64003522458</v>
      </c>
      <c r="AC35" s="244">
        <f t="shared" si="18"/>
        <v>224191.24356264839</v>
      </c>
      <c r="AD35" s="244">
        <f t="shared" si="18"/>
        <v>223468.85237189199</v>
      </c>
      <c r="AE35" s="244">
        <f t="shared" si="18"/>
        <v>222667.01707156817</v>
      </c>
      <c r="AF35" s="244">
        <f t="shared" si="18"/>
        <v>221791.47066076525</v>
      </c>
      <c r="AG35" s="244">
        <f t="shared" si="18"/>
        <v>220847.18313609215</v>
      </c>
      <c r="AH35" s="244">
        <f t="shared" si="18"/>
        <v>219840.00511810713</v>
      </c>
      <c r="AI35" s="245">
        <f t="shared" si="18"/>
        <v>218778.14769825237</v>
      </c>
      <c r="AK35" s="117"/>
    </row>
    <row r="36" spans="1:252" s="138" customFormat="1" ht="12.75"/>
    <row r="37" spans="1:252" s="71" customFormat="1" ht="20.25">
      <c r="A37" s="103" t="s">
        <v>133</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39"/>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row>
    <row r="38" spans="1:252" s="90" customFormat="1" ht="15.75" outlineLevel="1">
      <c r="A38" s="264" t="s">
        <v>134</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6"/>
    </row>
    <row r="39" spans="1:252" s="71" customFormat="1" ht="20.25" outlineLevel="1">
      <c r="A39" s="342" t="s">
        <v>180</v>
      </c>
      <c r="B39" s="342"/>
      <c r="C39" s="342"/>
      <c r="D39" s="342"/>
      <c r="E39" s="342"/>
      <c r="F39" s="342"/>
      <c r="G39" s="342"/>
      <c r="H39" s="342"/>
      <c r="I39" s="342"/>
      <c r="J39" s="342"/>
      <c r="K39" s="140"/>
      <c r="L39" s="140"/>
      <c r="M39" s="140"/>
      <c r="N39" s="140"/>
      <c r="O39" s="140"/>
      <c r="P39" s="140"/>
      <c r="Q39" s="14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0"/>
      <c r="FK39" s="90"/>
      <c r="FL39" s="90"/>
      <c r="FM39" s="90"/>
      <c r="FN39" s="90"/>
      <c r="FO39" s="90"/>
      <c r="FP39" s="90"/>
      <c r="FQ39" s="90"/>
      <c r="FR39" s="90"/>
      <c r="FS39" s="90"/>
      <c r="FT39" s="90"/>
      <c r="FU39" s="90"/>
      <c r="FV39" s="90"/>
      <c r="FW39" s="90"/>
      <c r="FX39" s="90"/>
      <c r="FY39" s="90"/>
      <c r="FZ39" s="90"/>
      <c r="GA39" s="90"/>
      <c r="GB39" s="90"/>
      <c r="GC39" s="90"/>
      <c r="GD39" s="90"/>
      <c r="GE39" s="90"/>
      <c r="GF39" s="90"/>
      <c r="GG39" s="90"/>
      <c r="GH39" s="90"/>
      <c r="GI39" s="90"/>
      <c r="GJ39" s="90"/>
      <c r="GK39" s="90"/>
      <c r="GL39" s="90"/>
      <c r="GM39" s="90"/>
      <c r="GN39" s="90"/>
      <c r="GO39" s="90"/>
      <c r="GP39" s="90"/>
      <c r="GQ39" s="90"/>
      <c r="GR39" s="90"/>
      <c r="GS39" s="90"/>
      <c r="GT39" s="90"/>
      <c r="GU39" s="90"/>
      <c r="GV39" s="90"/>
      <c r="GW39" s="90"/>
      <c r="GX39" s="90"/>
      <c r="GY39" s="90"/>
      <c r="GZ39" s="90"/>
      <c r="HA39" s="90"/>
      <c r="HB39" s="90"/>
      <c r="HC39" s="90"/>
      <c r="HD39" s="90"/>
      <c r="HE39" s="90"/>
      <c r="HF39" s="90"/>
      <c r="HG39" s="90"/>
      <c r="HH39" s="90"/>
      <c r="HI39" s="90"/>
      <c r="HJ39" s="90"/>
      <c r="HK39" s="90"/>
      <c r="HL39" s="90"/>
      <c r="HM39" s="90"/>
      <c r="HN39" s="90"/>
      <c r="HO39" s="90"/>
      <c r="HP39" s="90"/>
      <c r="HQ39" s="90"/>
      <c r="HR39" s="90"/>
      <c r="HS39" s="90"/>
      <c r="HT39" s="90"/>
      <c r="HU39" s="90"/>
      <c r="HV39" s="90"/>
      <c r="HW39" s="90"/>
      <c r="HX39" s="90"/>
      <c r="HY39" s="90"/>
      <c r="HZ39" s="90"/>
      <c r="IA39" s="90"/>
      <c r="IB39" s="90"/>
      <c r="IC39" s="90"/>
      <c r="ID39" s="90"/>
      <c r="IE39" s="90"/>
      <c r="IF39" s="90"/>
      <c r="IG39" s="90"/>
      <c r="IH39" s="90"/>
      <c r="II39" s="90"/>
      <c r="IJ39" s="90"/>
      <c r="IK39" s="90"/>
      <c r="IL39" s="90"/>
      <c r="IM39" s="90"/>
      <c r="IN39" s="90"/>
      <c r="IO39" s="90"/>
      <c r="IP39" s="90"/>
      <c r="IQ39" s="90"/>
    </row>
    <row r="40" spans="1:252" s="90" customFormat="1" outlineLevel="1">
      <c r="A40" s="342" t="s">
        <v>135</v>
      </c>
      <c r="B40" s="342"/>
      <c r="C40" s="342"/>
      <c r="D40" s="342"/>
      <c r="E40" s="342"/>
      <c r="F40" s="342"/>
      <c r="G40" s="342"/>
      <c r="H40" s="342"/>
      <c r="I40" s="342"/>
      <c r="J40" s="342"/>
      <c r="K40" s="342"/>
      <c r="L40" s="342"/>
      <c r="M40" s="342"/>
      <c r="N40" s="342"/>
      <c r="O40" s="342"/>
      <c r="P40" s="342"/>
      <c r="Q40" s="342"/>
    </row>
    <row r="41" spans="1:252" s="90" customFormat="1" outlineLevel="1">
      <c r="A41" s="342" t="s">
        <v>136</v>
      </c>
      <c r="B41" s="342"/>
      <c r="C41" s="342"/>
      <c r="D41" s="342"/>
      <c r="E41" s="342"/>
      <c r="F41" s="342"/>
      <c r="G41" s="342"/>
      <c r="H41" s="342"/>
      <c r="I41" s="342"/>
      <c r="J41" s="342"/>
      <c r="K41" s="342"/>
      <c r="L41" s="342"/>
      <c r="M41" s="342"/>
      <c r="N41" s="342"/>
      <c r="O41" s="342"/>
      <c r="P41" s="342"/>
      <c r="Q41" s="342"/>
    </row>
    <row r="42" spans="1:252" s="90" customFormat="1" ht="15.75" outlineLevel="1">
      <c r="A42" s="264" t="s">
        <v>137</v>
      </c>
      <c r="B42" s="265"/>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6"/>
    </row>
    <row r="43" spans="1:252" s="141" customFormat="1" ht="15.75" outlineLevel="1">
      <c r="A43" s="287" t="s">
        <v>138</v>
      </c>
      <c r="B43" s="288"/>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9"/>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c r="CA43" s="155"/>
      <c r="CB43" s="155"/>
      <c r="CC43" s="155"/>
      <c r="CD43" s="155"/>
      <c r="CE43" s="155"/>
      <c r="CF43" s="155"/>
      <c r="CG43" s="155"/>
      <c r="CH43" s="155"/>
      <c r="CI43" s="155"/>
      <c r="CJ43" s="155"/>
      <c r="CK43" s="155"/>
      <c r="CL43" s="155"/>
      <c r="CM43" s="155"/>
      <c r="CN43" s="155"/>
      <c r="CO43" s="155"/>
      <c r="CP43" s="155"/>
      <c r="CQ43" s="155"/>
      <c r="CR43" s="155"/>
      <c r="CS43" s="155"/>
      <c r="CT43" s="155"/>
      <c r="CU43" s="155"/>
      <c r="CV43" s="155"/>
      <c r="CW43" s="155"/>
      <c r="CX43" s="155"/>
      <c r="CY43" s="155"/>
      <c r="CZ43" s="155"/>
      <c r="DA43" s="155"/>
      <c r="DB43" s="155"/>
      <c r="DC43" s="155"/>
      <c r="DD43" s="155"/>
      <c r="DE43" s="155"/>
      <c r="DF43" s="155"/>
      <c r="DG43" s="155"/>
      <c r="DH43" s="155"/>
      <c r="DI43" s="155"/>
      <c r="DJ43" s="155"/>
      <c r="DK43" s="155"/>
      <c r="DL43" s="155"/>
      <c r="DM43" s="155"/>
      <c r="DN43" s="155"/>
      <c r="DO43" s="155"/>
      <c r="DP43" s="155"/>
      <c r="DQ43" s="155"/>
      <c r="DR43" s="155"/>
      <c r="DS43" s="155"/>
      <c r="DT43" s="155"/>
      <c r="DU43" s="155"/>
      <c r="DV43" s="155"/>
      <c r="DW43" s="155"/>
      <c r="DX43" s="155"/>
      <c r="DY43" s="155"/>
      <c r="DZ43" s="155"/>
      <c r="EA43" s="155"/>
      <c r="EB43" s="155"/>
      <c r="EC43" s="155"/>
      <c r="ED43" s="155"/>
      <c r="EE43" s="155"/>
      <c r="EF43" s="155"/>
      <c r="EG43" s="155"/>
      <c r="EH43" s="155"/>
      <c r="EI43" s="155"/>
      <c r="EJ43" s="155"/>
      <c r="EK43" s="155"/>
      <c r="EL43" s="155"/>
      <c r="EM43" s="155"/>
      <c r="EN43" s="155"/>
      <c r="EO43" s="155"/>
      <c r="EP43" s="155"/>
      <c r="EQ43" s="155"/>
      <c r="ER43" s="155"/>
      <c r="ES43" s="155"/>
      <c r="ET43" s="155"/>
      <c r="EU43" s="155"/>
      <c r="EV43" s="155"/>
      <c r="EW43" s="155"/>
      <c r="EX43" s="155"/>
      <c r="EY43" s="155"/>
      <c r="EZ43" s="155"/>
      <c r="FA43" s="155"/>
      <c r="FB43" s="155"/>
      <c r="FC43" s="155"/>
      <c r="FD43" s="155"/>
      <c r="FE43" s="155"/>
      <c r="FF43" s="155"/>
      <c r="FG43" s="155"/>
      <c r="FH43" s="155"/>
      <c r="FI43" s="155"/>
      <c r="FJ43" s="155"/>
      <c r="FK43" s="155"/>
      <c r="FL43" s="155"/>
      <c r="FM43" s="155"/>
      <c r="FN43" s="155"/>
      <c r="FO43" s="155"/>
      <c r="FP43" s="155"/>
      <c r="FQ43" s="155"/>
      <c r="FR43" s="155"/>
      <c r="FS43" s="155"/>
      <c r="FT43" s="155"/>
      <c r="FU43" s="155"/>
      <c r="FV43" s="155"/>
      <c r="FW43" s="155"/>
      <c r="FX43" s="155"/>
      <c r="FY43" s="155"/>
      <c r="FZ43" s="155"/>
      <c r="GA43" s="155"/>
      <c r="GB43" s="155"/>
      <c r="GC43" s="155"/>
      <c r="GD43" s="155"/>
      <c r="GE43" s="155"/>
      <c r="GF43" s="155"/>
      <c r="GG43" s="155"/>
      <c r="GH43" s="155"/>
      <c r="GI43" s="155"/>
      <c r="GJ43" s="155"/>
      <c r="GK43" s="155"/>
      <c r="GL43" s="155"/>
      <c r="GM43" s="155"/>
      <c r="GN43" s="155"/>
      <c r="GO43" s="155"/>
      <c r="GP43" s="155"/>
      <c r="GQ43" s="155"/>
      <c r="GR43" s="155"/>
      <c r="GS43" s="155"/>
      <c r="GT43" s="155"/>
      <c r="GU43" s="155"/>
      <c r="GV43" s="155"/>
      <c r="GW43" s="155"/>
      <c r="GX43" s="155"/>
      <c r="GY43" s="155"/>
      <c r="GZ43" s="155"/>
      <c r="HA43" s="155"/>
      <c r="HB43" s="155"/>
      <c r="HC43" s="155"/>
      <c r="HD43" s="155"/>
      <c r="HE43" s="155"/>
      <c r="HF43" s="155"/>
      <c r="HG43" s="155"/>
      <c r="HH43" s="155"/>
      <c r="HI43" s="155"/>
      <c r="HJ43" s="155"/>
      <c r="HK43" s="155"/>
      <c r="HL43" s="155"/>
      <c r="HM43" s="155"/>
      <c r="HN43" s="155"/>
      <c r="HO43" s="155"/>
      <c r="HP43" s="155"/>
      <c r="HQ43" s="155"/>
      <c r="HR43" s="155"/>
      <c r="HS43" s="155"/>
      <c r="HT43" s="155"/>
      <c r="HU43" s="155"/>
      <c r="HV43" s="155"/>
      <c r="HW43" s="155"/>
      <c r="HX43" s="155"/>
      <c r="HY43" s="155"/>
      <c r="HZ43" s="155"/>
      <c r="IA43" s="155"/>
      <c r="IB43" s="155"/>
      <c r="IC43" s="155"/>
      <c r="ID43" s="155"/>
      <c r="IE43" s="155"/>
      <c r="IF43" s="155"/>
      <c r="IG43" s="155"/>
      <c r="IH43" s="155"/>
      <c r="II43" s="155"/>
      <c r="IJ43" s="155"/>
      <c r="IK43" s="155"/>
      <c r="IL43" s="155"/>
      <c r="IM43" s="155"/>
      <c r="IN43" s="155"/>
      <c r="IO43" s="155"/>
      <c r="IP43" s="155"/>
      <c r="IQ43" s="155"/>
      <c r="IR43" s="154"/>
    </row>
    <row r="44" spans="1:252" s="90" customFormat="1" outlineLevel="1">
      <c r="A44" s="342" t="s">
        <v>181</v>
      </c>
      <c r="B44" s="342"/>
      <c r="C44" s="342"/>
      <c r="D44" s="342"/>
      <c r="E44" s="342"/>
      <c r="F44" s="342"/>
      <c r="G44" s="342"/>
      <c r="H44" s="342"/>
      <c r="I44" s="342"/>
      <c r="J44" s="342"/>
      <c r="K44" s="342"/>
      <c r="L44" s="342"/>
      <c r="M44" s="342"/>
      <c r="N44" s="342"/>
      <c r="O44" s="342"/>
      <c r="P44" s="342"/>
      <c r="Q44" s="342"/>
    </row>
    <row r="45" spans="1:252" s="90" customFormat="1" outlineLevel="1">
      <c r="A45" s="342" t="s">
        <v>182</v>
      </c>
      <c r="B45" s="342"/>
      <c r="C45" s="342"/>
      <c r="D45" s="342"/>
      <c r="E45" s="342"/>
      <c r="F45" s="342"/>
      <c r="G45" s="342"/>
      <c r="H45" s="342"/>
      <c r="I45" s="342"/>
      <c r="J45" s="342"/>
      <c r="K45" s="342"/>
      <c r="L45" s="342"/>
      <c r="M45" s="342"/>
      <c r="N45" s="342"/>
      <c r="O45" s="342"/>
      <c r="P45" s="342"/>
      <c r="Q45" s="342"/>
    </row>
    <row r="46" spans="1:252" s="90" customFormat="1" outlineLevel="1">
      <c r="A46" s="342" t="s">
        <v>239</v>
      </c>
      <c r="B46" s="342"/>
      <c r="C46" s="342"/>
      <c r="D46" s="342"/>
      <c r="E46" s="342"/>
      <c r="F46" s="342"/>
      <c r="G46" s="342"/>
      <c r="H46" s="342"/>
      <c r="I46" s="342"/>
      <c r="J46" s="342"/>
      <c r="K46" s="342"/>
      <c r="L46" s="342"/>
      <c r="M46" s="342"/>
      <c r="N46" s="342"/>
      <c r="O46" s="342"/>
      <c r="P46" s="342"/>
      <c r="Q46" s="342"/>
    </row>
    <row r="47" spans="1:252" s="90" customFormat="1" outlineLevel="1">
      <c r="A47" s="342" t="s">
        <v>220</v>
      </c>
      <c r="B47" s="342"/>
      <c r="C47" s="342"/>
      <c r="D47" s="342"/>
      <c r="E47" s="342"/>
      <c r="F47" s="342"/>
      <c r="G47" s="342"/>
      <c r="H47" s="342"/>
      <c r="I47" s="342"/>
      <c r="J47" s="342"/>
      <c r="K47" s="342"/>
      <c r="L47" s="342"/>
      <c r="M47" s="342"/>
      <c r="N47" s="342"/>
      <c r="O47" s="342"/>
      <c r="P47" s="342"/>
      <c r="Q47" s="342"/>
    </row>
    <row r="48" spans="1:252" s="90" customFormat="1" ht="55.9" customHeight="1" outlineLevel="1">
      <c r="A48" s="342" t="s">
        <v>183</v>
      </c>
      <c r="B48" s="342"/>
      <c r="C48" s="342"/>
      <c r="D48" s="342"/>
      <c r="E48" s="342"/>
      <c r="F48" s="342"/>
      <c r="G48" s="342"/>
      <c r="H48" s="342"/>
      <c r="I48" s="342"/>
      <c r="J48" s="342"/>
      <c r="K48" s="342"/>
      <c r="L48" s="342"/>
      <c r="M48" s="342"/>
      <c r="N48" s="342"/>
      <c r="O48" s="342"/>
      <c r="P48" s="342"/>
      <c r="Q48" s="342"/>
    </row>
    <row r="49" spans="1:252" s="90" customFormat="1" outlineLevel="1">
      <c r="A49" s="142" t="s">
        <v>184</v>
      </c>
      <c r="B49" s="157"/>
      <c r="C49" s="157"/>
      <c r="D49" s="157"/>
      <c r="E49" s="157"/>
      <c r="F49" s="157"/>
      <c r="G49" s="157"/>
      <c r="H49" s="157"/>
      <c r="I49" s="157"/>
      <c r="J49" s="157"/>
      <c r="K49" s="157"/>
      <c r="L49" s="157"/>
      <c r="M49" s="157"/>
      <c r="N49" s="157"/>
      <c r="O49" s="157"/>
      <c r="P49" s="157"/>
      <c r="Q49" s="157"/>
    </row>
    <row r="50" spans="1:252" s="90" customFormat="1" outlineLevel="1">
      <c r="A50" s="142" t="s">
        <v>185</v>
      </c>
      <c r="B50" s="157"/>
      <c r="C50" s="157"/>
      <c r="D50" s="157"/>
      <c r="E50" s="157"/>
      <c r="F50" s="157"/>
      <c r="G50" s="157"/>
      <c r="H50" s="157"/>
      <c r="I50" s="157"/>
      <c r="J50" s="157"/>
      <c r="K50" s="157"/>
      <c r="L50" s="157"/>
      <c r="M50" s="157"/>
      <c r="N50" s="157"/>
      <c r="O50" s="157"/>
      <c r="P50" s="157"/>
      <c r="Q50" s="157"/>
    </row>
    <row r="51" spans="1:252" s="141" customFormat="1" ht="15.75" outlineLevel="1">
      <c r="A51" s="287" t="s">
        <v>139</v>
      </c>
      <c r="B51" s="288"/>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9"/>
      <c r="AW51" s="94"/>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155"/>
      <c r="CE51" s="155"/>
      <c r="CF51" s="155"/>
      <c r="CG51" s="155"/>
      <c r="CH51" s="155"/>
      <c r="CI51" s="155"/>
      <c r="CJ51" s="155"/>
      <c r="CK51" s="155"/>
      <c r="CL51" s="155"/>
      <c r="CM51" s="155"/>
      <c r="CN51" s="155"/>
      <c r="CO51" s="155"/>
      <c r="CP51" s="155"/>
      <c r="CQ51" s="155"/>
      <c r="CR51" s="155"/>
      <c r="CS51" s="155"/>
      <c r="CT51" s="155"/>
      <c r="CU51" s="155"/>
      <c r="CV51" s="155"/>
      <c r="CW51" s="155"/>
      <c r="CX51" s="155"/>
      <c r="CY51" s="155"/>
      <c r="CZ51" s="155"/>
      <c r="DA51" s="155"/>
      <c r="DB51" s="155"/>
      <c r="DC51" s="155"/>
      <c r="DD51" s="155"/>
      <c r="DE51" s="155"/>
      <c r="DF51" s="155"/>
      <c r="DG51" s="155"/>
      <c r="DH51" s="155"/>
      <c r="DI51" s="155"/>
      <c r="DJ51" s="155"/>
      <c r="DK51" s="155"/>
      <c r="DL51" s="155"/>
      <c r="DM51" s="155"/>
      <c r="DN51" s="155"/>
      <c r="DO51" s="155"/>
      <c r="DP51" s="155"/>
      <c r="DQ51" s="155"/>
      <c r="DR51" s="155"/>
      <c r="DS51" s="155"/>
      <c r="DT51" s="155"/>
      <c r="DU51" s="155"/>
      <c r="DV51" s="155"/>
      <c r="DW51" s="155"/>
      <c r="DX51" s="155"/>
      <c r="DY51" s="155"/>
      <c r="DZ51" s="155"/>
      <c r="EA51" s="155"/>
      <c r="EB51" s="155"/>
      <c r="EC51" s="155"/>
      <c r="ED51" s="155"/>
      <c r="EE51" s="155"/>
      <c r="EF51" s="155"/>
      <c r="EG51" s="155"/>
      <c r="EH51" s="155"/>
      <c r="EI51" s="155"/>
      <c r="EJ51" s="155"/>
      <c r="EK51" s="155"/>
      <c r="EL51" s="155"/>
      <c r="EM51" s="155"/>
      <c r="EN51" s="155"/>
      <c r="EO51" s="155"/>
      <c r="EP51" s="155"/>
      <c r="EQ51" s="155"/>
      <c r="ER51" s="155"/>
      <c r="ES51" s="155"/>
      <c r="ET51" s="155"/>
      <c r="EU51" s="155"/>
      <c r="EV51" s="155"/>
      <c r="EW51" s="155"/>
      <c r="EX51" s="155"/>
      <c r="EY51" s="155"/>
      <c r="EZ51" s="155"/>
      <c r="FA51" s="155"/>
      <c r="FB51" s="155"/>
      <c r="FC51" s="155"/>
      <c r="FD51" s="155"/>
      <c r="FE51" s="155"/>
      <c r="FF51" s="155"/>
      <c r="FG51" s="155"/>
      <c r="FH51" s="155"/>
      <c r="FI51" s="155"/>
      <c r="FJ51" s="155"/>
      <c r="FK51" s="155"/>
      <c r="FL51" s="155"/>
      <c r="FM51" s="155"/>
      <c r="FN51" s="155"/>
      <c r="FO51" s="155"/>
      <c r="FP51" s="155"/>
      <c r="FQ51" s="155"/>
      <c r="FR51" s="155"/>
      <c r="FS51" s="155"/>
      <c r="FT51" s="155"/>
      <c r="FU51" s="155"/>
      <c r="FV51" s="155"/>
      <c r="FW51" s="155"/>
      <c r="FX51" s="155"/>
      <c r="FY51" s="155"/>
      <c r="FZ51" s="155"/>
      <c r="GA51" s="155"/>
      <c r="GB51" s="155"/>
      <c r="GC51" s="155"/>
      <c r="GD51" s="155"/>
      <c r="GE51" s="155"/>
      <c r="GF51" s="155"/>
      <c r="GG51" s="155"/>
      <c r="GH51" s="155"/>
      <c r="GI51" s="155"/>
      <c r="GJ51" s="155"/>
      <c r="GK51" s="155"/>
      <c r="GL51" s="155"/>
      <c r="GM51" s="155"/>
      <c r="GN51" s="155"/>
      <c r="GO51" s="155"/>
      <c r="GP51" s="155"/>
      <c r="GQ51" s="155"/>
      <c r="GR51" s="155"/>
      <c r="GS51" s="155"/>
      <c r="GT51" s="155"/>
      <c r="GU51" s="155"/>
      <c r="GV51" s="155"/>
      <c r="GW51" s="155"/>
      <c r="GX51" s="155"/>
      <c r="GY51" s="155"/>
      <c r="GZ51" s="155"/>
      <c r="HA51" s="155"/>
      <c r="HB51" s="155"/>
      <c r="HC51" s="155"/>
      <c r="HD51" s="155"/>
      <c r="HE51" s="155"/>
      <c r="HF51" s="155"/>
      <c r="HG51" s="155"/>
      <c r="HH51" s="155"/>
      <c r="HI51" s="155"/>
      <c r="HJ51" s="155"/>
      <c r="HK51" s="155"/>
      <c r="HL51" s="155"/>
      <c r="HM51" s="155"/>
      <c r="HN51" s="155"/>
      <c r="HO51" s="155"/>
      <c r="HP51" s="155"/>
      <c r="HQ51" s="155"/>
      <c r="HR51" s="155"/>
      <c r="HS51" s="155"/>
      <c r="HT51" s="155"/>
      <c r="HU51" s="155"/>
      <c r="HV51" s="155"/>
      <c r="HW51" s="155"/>
      <c r="HX51" s="155"/>
      <c r="HY51" s="155"/>
      <c r="HZ51" s="155"/>
      <c r="IA51" s="155"/>
      <c r="IB51" s="155"/>
      <c r="IC51" s="155"/>
      <c r="ID51" s="155"/>
      <c r="IE51" s="155"/>
      <c r="IF51" s="155"/>
      <c r="IG51" s="155"/>
      <c r="IH51" s="155"/>
      <c r="II51" s="155"/>
      <c r="IJ51" s="155"/>
      <c r="IK51" s="155"/>
      <c r="IL51" s="155"/>
      <c r="IM51" s="155"/>
      <c r="IN51" s="155"/>
      <c r="IO51" s="155"/>
      <c r="IP51" s="155"/>
      <c r="IQ51" s="155"/>
      <c r="IR51" s="154"/>
    </row>
    <row r="52" spans="1:252" s="90" customFormat="1" outlineLevel="1">
      <c r="A52" s="342" t="s">
        <v>140</v>
      </c>
      <c r="B52" s="342"/>
      <c r="C52" s="342"/>
      <c r="D52" s="342"/>
      <c r="E52" s="342"/>
      <c r="F52" s="342"/>
      <c r="G52" s="342"/>
      <c r="H52" s="342"/>
      <c r="I52" s="342"/>
      <c r="J52" s="342"/>
      <c r="K52" s="342"/>
      <c r="L52" s="342"/>
      <c r="M52" s="342"/>
      <c r="N52" s="342"/>
      <c r="O52" s="342"/>
      <c r="P52" s="342"/>
      <c r="Q52" s="342"/>
    </row>
    <row r="53" spans="1:252" s="90" customFormat="1" outlineLevel="1">
      <c r="A53" s="142" t="s">
        <v>186</v>
      </c>
      <c r="B53" s="157"/>
      <c r="C53" s="157"/>
      <c r="D53" s="157"/>
      <c r="E53" s="157"/>
      <c r="F53" s="157"/>
      <c r="G53" s="157"/>
      <c r="H53" s="157"/>
      <c r="I53" s="157"/>
      <c r="J53" s="157"/>
      <c r="K53" s="157"/>
      <c r="L53" s="157"/>
      <c r="M53" s="157"/>
      <c r="N53" s="157"/>
      <c r="O53" s="157"/>
      <c r="P53" s="157"/>
      <c r="Q53" s="157"/>
    </row>
    <row r="54" spans="1:252" s="90" customFormat="1" ht="15.75" outlineLevel="1" thickBot="1">
      <c r="A54" s="157"/>
      <c r="B54" s="157"/>
      <c r="C54" s="157"/>
      <c r="D54" s="157"/>
      <c r="E54" s="157"/>
      <c r="F54" s="157"/>
      <c r="G54" s="157"/>
      <c r="H54" s="157"/>
      <c r="I54" s="157"/>
      <c r="J54" s="157"/>
      <c r="K54" s="157"/>
      <c r="L54" s="157"/>
      <c r="M54" s="143"/>
      <c r="N54" s="143"/>
      <c r="O54" s="157"/>
      <c r="P54" s="157"/>
      <c r="Q54" s="157"/>
    </row>
    <row r="55" spans="1:252" ht="15.75" outlineLevel="1" thickBot="1">
      <c r="A55" s="208"/>
      <c r="B55" s="209">
        <v>2019</v>
      </c>
      <c r="C55" s="209">
        <v>2020</v>
      </c>
      <c r="D55" s="209">
        <v>2021</v>
      </c>
      <c r="E55" s="209">
        <v>2022</v>
      </c>
      <c r="F55" s="209">
        <v>2023</v>
      </c>
      <c r="G55" s="209">
        <v>2024</v>
      </c>
      <c r="H55" s="209">
        <v>2025</v>
      </c>
      <c r="I55" s="209">
        <v>2026</v>
      </c>
      <c r="J55" s="209">
        <v>2027</v>
      </c>
      <c r="K55" s="209">
        <v>2028</v>
      </c>
      <c r="L55" s="209">
        <v>2029</v>
      </c>
      <c r="M55" s="209">
        <v>2030</v>
      </c>
      <c r="N55" s="209">
        <v>2031</v>
      </c>
      <c r="O55" s="209">
        <v>2032</v>
      </c>
      <c r="P55" s="209">
        <v>2033</v>
      </c>
      <c r="Q55" s="209">
        <v>2034</v>
      </c>
      <c r="R55" s="209">
        <v>2035</v>
      </c>
      <c r="S55" s="209">
        <v>2036</v>
      </c>
      <c r="T55" s="209">
        <v>2037</v>
      </c>
      <c r="U55" s="209">
        <v>2038</v>
      </c>
      <c r="V55" s="209">
        <v>2039</v>
      </c>
      <c r="W55" s="209">
        <v>2040</v>
      </c>
      <c r="X55" s="209">
        <v>2041</v>
      </c>
      <c r="Y55" s="209">
        <v>2042</v>
      </c>
      <c r="Z55" s="209">
        <v>2043</v>
      </c>
      <c r="AA55" s="209">
        <v>2044</v>
      </c>
      <c r="AB55" s="209">
        <v>2045</v>
      </c>
      <c r="AC55" s="209">
        <v>2046</v>
      </c>
      <c r="AD55" s="209">
        <v>2047</v>
      </c>
      <c r="AE55" s="209">
        <v>2048</v>
      </c>
      <c r="AF55" s="209">
        <v>2049</v>
      </c>
      <c r="AG55" s="209">
        <v>2050</v>
      </c>
      <c r="AH55" s="218"/>
    </row>
    <row r="56" spans="1:252" outlineLevel="1">
      <c r="A56" s="219" t="s">
        <v>141</v>
      </c>
      <c r="B56" s="170">
        <v>80757</v>
      </c>
      <c r="C56" s="170">
        <v>81665.172215839426</v>
      </c>
      <c r="D56" s="170">
        <v>82596.249041100702</v>
      </c>
      <c r="E56" s="170">
        <v>83556.739232616645</v>
      </c>
      <c r="F56" s="170">
        <v>84518.885236021655</v>
      </c>
      <c r="G56" s="170">
        <v>85726.437419674679</v>
      </c>
      <c r="H56" s="170">
        <v>87022.131952015232</v>
      </c>
      <c r="I56" s="170">
        <v>88666.070662941449</v>
      </c>
      <c r="J56" s="170">
        <v>90374.596663636432</v>
      </c>
      <c r="K56" s="170">
        <v>92096.336061262336</v>
      </c>
      <c r="L56" s="170">
        <v>93829.450253398463</v>
      </c>
      <c r="M56" s="170">
        <v>95571.758377619553</v>
      </c>
      <c r="N56" s="170">
        <v>97322.213190914539</v>
      </c>
      <c r="O56" s="170">
        <v>99077.057784096207</v>
      </c>
      <c r="P56" s="170">
        <v>100833.61568378987</v>
      </c>
      <c r="Q56" s="170">
        <v>102556.74779922546</v>
      </c>
      <c r="R56" s="170">
        <v>104274.87401203031</v>
      </c>
      <c r="S56" s="170">
        <v>105985.30646950001</v>
      </c>
      <c r="T56" s="170">
        <v>107686.44361541791</v>
      </c>
      <c r="U56" s="170">
        <v>109375.86982334314</v>
      </c>
      <c r="V56" s="170">
        <v>111051.53044788892</v>
      </c>
      <c r="W56" s="170">
        <v>112711.72673783649</v>
      </c>
      <c r="X56" s="170">
        <v>114355.32953545643</v>
      </c>
      <c r="Y56" s="170">
        <v>115982.07082838353</v>
      </c>
      <c r="Z56" s="170">
        <v>117592.31029389083</v>
      </c>
      <c r="AA56" s="170">
        <v>119187.08975362836</v>
      </c>
      <c r="AB56" s="170">
        <v>120768.06821109896</v>
      </c>
      <c r="AC56" s="170">
        <v>122337.069469336</v>
      </c>
      <c r="AD56" s="170">
        <v>123896.16677532523</v>
      </c>
      <c r="AE56" s="170">
        <v>125447.16294583521</v>
      </c>
      <c r="AF56" s="170">
        <v>126992.51261843236</v>
      </c>
      <c r="AG56" s="170">
        <v>128534.56719499506</v>
      </c>
    </row>
    <row r="57" spans="1:252" outlineLevel="1">
      <c r="A57" s="216" t="s">
        <v>142</v>
      </c>
      <c r="B57" s="217">
        <f>B58/B56</f>
        <v>9.9805589608331167E-3</v>
      </c>
      <c r="C57" s="217">
        <f>B57+($M$57-$B$57)/12</f>
        <v>1.3315512380763691E-2</v>
      </c>
      <c r="D57" s="217">
        <f t="shared" ref="D57:L57" si="19">C57+($M$57-$B$57)/12</f>
        <v>1.6650465800694264E-2</v>
      </c>
      <c r="E57" s="217">
        <f t="shared" si="19"/>
        <v>1.9985419220624839E-2</v>
      </c>
      <c r="F57" s="217">
        <f t="shared" si="19"/>
        <v>2.3320372640555413E-2</v>
      </c>
      <c r="G57" s="217">
        <f t="shared" si="19"/>
        <v>2.6655326060485988E-2</v>
      </c>
      <c r="H57" s="217">
        <f t="shared" si="19"/>
        <v>2.9990279480416562E-2</v>
      </c>
      <c r="I57" s="217">
        <f t="shared" si="19"/>
        <v>3.3325232900347133E-2</v>
      </c>
      <c r="J57" s="217">
        <f t="shared" si="19"/>
        <v>3.6660186320277705E-2</v>
      </c>
      <c r="K57" s="217">
        <f t="shared" si="19"/>
        <v>3.9995139740208276E-2</v>
      </c>
      <c r="L57" s="217">
        <f t="shared" si="19"/>
        <v>4.3330093160138847E-2</v>
      </c>
      <c r="M57" s="217">
        <v>0.05</v>
      </c>
      <c r="N57" s="217">
        <f>M57</f>
        <v>0.05</v>
      </c>
      <c r="O57" s="217">
        <f t="shared" ref="O57:AG57" si="20">N57</f>
        <v>0.05</v>
      </c>
      <c r="P57" s="217">
        <f t="shared" si="20"/>
        <v>0.05</v>
      </c>
      <c r="Q57" s="217">
        <f t="shared" si="20"/>
        <v>0.05</v>
      </c>
      <c r="R57" s="217">
        <f t="shared" si="20"/>
        <v>0.05</v>
      </c>
      <c r="S57" s="217">
        <f t="shared" si="20"/>
        <v>0.05</v>
      </c>
      <c r="T57" s="217">
        <f t="shared" si="20"/>
        <v>0.05</v>
      </c>
      <c r="U57" s="217">
        <f t="shared" si="20"/>
        <v>0.05</v>
      </c>
      <c r="V57" s="217">
        <f t="shared" si="20"/>
        <v>0.05</v>
      </c>
      <c r="W57" s="217">
        <f t="shared" si="20"/>
        <v>0.05</v>
      </c>
      <c r="X57" s="217">
        <f t="shared" si="20"/>
        <v>0.05</v>
      </c>
      <c r="Y57" s="217">
        <f t="shared" si="20"/>
        <v>0.05</v>
      </c>
      <c r="Z57" s="217">
        <f t="shared" si="20"/>
        <v>0.05</v>
      </c>
      <c r="AA57" s="217">
        <f t="shared" si="20"/>
        <v>0.05</v>
      </c>
      <c r="AB57" s="217">
        <f t="shared" si="20"/>
        <v>0.05</v>
      </c>
      <c r="AC57" s="217">
        <f t="shared" si="20"/>
        <v>0.05</v>
      </c>
      <c r="AD57" s="217">
        <f t="shared" si="20"/>
        <v>0.05</v>
      </c>
      <c r="AE57" s="217">
        <f t="shared" si="20"/>
        <v>0.05</v>
      </c>
      <c r="AF57" s="217">
        <f t="shared" si="20"/>
        <v>0.05</v>
      </c>
      <c r="AG57" s="217">
        <f t="shared" si="20"/>
        <v>0.05</v>
      </c>
    </row>
    <row r="58" spans="1:252" s="145" customFormat="1" outlineLevel="1">
      <c r="A58" s="220" t="s">
        <v>143</v>
      </c>
      <c r="B58" s="221">
        <v>806</v>
      </c>
      <c r="C58" s="221">
        <f t="shared" ref="C58:L58" si="21">C57*C56</f>
        <v>1087.4136117172088</v>
      </c>
      <c r="D58" s="221">
        <f t="shared" si="21"/>
        <v>1375.2660199244735</v>
      </c>
      <c r="E58" s="221">
        <f t="shared" si="21"/>
        <v>1669.9164622722742</v>
      </c>
      <c r="F58" s="221">
        <f t="shared" si="21"/>
        <v>1971.0118988683623</v>
      </c>
      <c r="G58" s="221">
        <f t="shared" si="21"/>
        <v>2285.0661414252754</v>
      </c>
      <c r="H58" s="221">
        <f t="shared" si="21"/>
        <v>2609.818058222625</v>
      </c>
      <c r="I58" s="221">
        <f t="shared" si="21"/>
        <v>2954.8174552011601</v>
      </c>
      <c r="J58" s="221">
        <f t="shared" si="21"/>
        <v>3313.1495523088593</v>
      </c>
      <c r="K58" s="221">
        <f t="shared" si="21"/>
        <v>3683.4058303313695</v>
      </c>
      <c r="L58" s="221">
        <f t="shared" si="21"/>
        <v>4065.6388206443689</v>
      </c>
      <c r="M58" s="221">
        <f>M57*M56</f>
        <v>4778.5879188809777</v>
      </c>
      <c r="N58" s="222">
        <f>N57*N56</f>
        <v>4866.1106595457268</v>
      </c>
      <c r="O58" s="222">
        <f t="shared" ref="O58:AG58" si="22">O57*O56</f>
        <v>4953.8528892048107</v>
      </c>
      <c r="P58" s="222">
        <f t="shared" si="22"/>
        <v>5041.6807841894943</v>
      </c>
      <c r="Q58" s="222">
        <f t="shared" si="22"/>
        <v>5127.8373899612734</v>
      </c>
      <c r="R58" s="222">
        <f t="shared" si="22"/>
        <v>5213.7437006015161</v>
      </c>
      <c r="S58" s="222">
        <f t="shared" si="22"/>
        <v>5299.2653234750005</v>
      </c>
      <c r="T58" s="222">
        <f t="shared" si="22"/>
        <v>5384.322180770896</v>
      </c>
      <c r="U58" s="222">
        <f t="shared" si="22"/>
        <v>5468.7934911671573</v>
      </c>
      <c r="V58" s="222">
        <f t="shared" si="22"/>
        <v>5552.5765223944463</v>
      </c>
      <c r="W58" s="222">
        <f t="shared" si="22"/>
        <v>5635.5863368918253</v>
      </c>
      <c r="X58" s="222">
        <f t="shared" si="22"/>
        <v>5717.766476772822</v>
      </c>
      <c r="Y58" s="222">
        <f t="shared" si="22"/>
        <v>5799.1035414191765</v>
      </c>
      <c r="Z58" s="222">
        <f t="shared" si="22"/>
        <v>5879.6155146945421</v>
      </c>
      <c r="AA58" s="222">
        <f t="shared" si="22"/>
        <v>5959.3544876814185</v>
      </c>
      <c r="AB58" s="222">
        <f t="shared" si="22"/>
        <v>6038.4034105549481</v>
      </c>
      <c r="AC58" s="222">
        <f t="shared" si="22"/>
        <v>6116.8534734668001</v>
      </c>
      <c r="AD58" s="222">
        <f t="shared" si="22"/>
        <v>6194.8083387662618</v>
      </c>
      <c r="AE58" s="222">
        <f t="shared" si="22"/>
        <v>6272.3581472917613</v>
      </c>
      <c r="AF58" s="222">
        <f t="shared" si="22"/>
        <v>6349.6256309216187</v>
      </c>
      <c r="AG58" s="222">
        <f t="shared" si="22"/>
        <v>6426.7283597497535</v>
      </c>
    </row>
    <row r="59" spans="1:252" s="193" customFormat="1" ht="30" outlineLevel="1">
      <c r="A59" s="223" t="s">
        <v>144</v>
      </c>
      <c r="B59" s="224">
        <v>0.32923076923076927</v>
      </c>
      <c r="C59" s="224">
        <v>0.32384615384615389</v>
      </c>
      <c r="D59" s="224">
        <v>0.31846153846153852</v>
      </c>
      <c r="E59" s="224">
        <v>0.31307692307692314</v>
      </c>
      <c r="F59" s="224">
        <v>0.30769230769230776</v>
      </c>
      <c r="G59" s="224">
        <v>0.30230769230769239</v>
      </c>
      <c r="H59" s="224">
        <v>0.29692307692307701</v>
      </c>
      <c r="I59" s="224">
        <v>0.29153846153846164</v>
      </c>
      <c r="J59" s="224">
        <v>0.28615384615384626</v>
      </c>
      <c r="K59" s="224">
        <v>0.28076923076923088</v>
      </c>
      <c r="L59" s="224">
        <v>0.27538461538461551</v>
      </c>
      <c r="M59" s="224">
        <v>0.27</v>
      </c>
      <c r="N59" s="225">
        <v>0.26800000000000002</v>
      </c>
      <c r="O59" s="225">
        <v>0.26600000000000001</v>
      </c>
      <c r="P59" s="225">
        <v>0.26400000000000001</v>
      </c>
      <c r="Q59" s="225">
        <v>0.26200000000000001</v>
      </c>
      <c r="R59" s="225">
        <v>0.26</v>
      </c>
      <c r="S59" s="225">
        <v>0.25800000000000001</v>
      </c>
      <c r="T59" s="225">
        <v>0.25600000000000001</v>
      </c>
      <c r="U59" s="225">
        <v>0.254</v>
      </c>
      <c r="V59" s="225">
        <v>0.252</v>
      </c>
      <c r="W59" s="225">
        <v>0.25</v>
      </c>
      <c r="X59" s="225">
        <v>0.249</v>
      </c>
      <c r="Y59" s="225">
        <v>0.248</v>
      </c>
      <c r="Z59" s="225">
        <v>0.247</v>
      </c>
      <c r="AA59" s="225">
        <v>0.246</v>
      </c>
      <c r="AB59" s="225">
        <v>0.245</v>
      </c>
      <c r="AC59" s="225">
        <v>0.24399999999999999</v>
      </c>
      <c r="AD59" s="225">
        <v>0.24299999999999999</v>
      </c>
      <c r="AE59" s="225">
        <v>0.24199999999999999</v>
      </c>
      <c r="AF59" s="225">
        <v>0.24099999999999999</v>
      </c>
      <c r="AG59" s="225">
        <v>0.24</v>
      </c>
    </row>
    <row r="60" spans="1:252" outlineLevel="1">
      <c r="A60" s="146"/>
      <c r="B60" s="147"/>
      <c r="C60" s="147"/>
      <c r="D60" s="147"/>
      <c r="E60" s="147"/>
      <c r="F60" s="147"/>
      <c r="G60" s="147"/>
      <c r="H60" s="147"/>
      <c r="I60" s="147"/>
      <c r="J60" s="147"/>
      <c r="K60" s="148"/>
      <c r="L60" s="148"/>
      <c r="M60" s="148"/>
      <c r="N60" s="148"/>
      <c r="O60" s="148"/>
      <c r="P60" s="148"/>
      <c r="Q60" s="148"/>
      <c r="R60" s="148"/>
      <c r="S60" s="148"/>
      <c r="T60" s="148"/>
      <c r="U60" s="148"/>
      <c r="V60" s="148"/>
      <c r="W60" s="148"/>
      <c r="X60" s="148"/>
      <c r="Y60" s="148"/>
      <c r="Z60" s="148"/>
      <c r="AA60" s="148"/>
      <c r="AB60" s="149"/>
      <c r="AC60" s="149"/>
      <c r="AD60" s="149"/>
      <c r="AE60" s="149"/>
      <c r="AF60" s="149"/>
      <c r="AG60" s="149"/>
      <c r="AH60" s="149"/>
      <c r="AI60" s="149"/>
      <c r="AJ60" s="149"/>
      <c r="AK60" s="149"/>
      <c r="AL60" s="149"/>
      <c r="AM60" s="149"/>
      <c r="AN60" s="149"/>
      <c r="AO60" s="149"/>
      <c r="AP60" s="149"/>
      <c r="AQ60" s="149"/>
      <c r="AR60" s="149"/>
      <c r="AS60" s="149"/>
      <c r="AT60" s="149"/>
      <c r="AU60" s="149"/>
    </row>
    <row r="61" spans="1:252" s="90" customFormat="1" ht="15.75" outlineLevel="1">
      <c r="A61" s="264" t="s">
        <v>145</v>
      </c>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6"/>
    </row>
    <row r="62" spans="1:252" ht="121.9" customHeight="1" outlineLevel="1">
      <c r="A62" s="342" t="s">
        <v>187</v>
      </c>
      <c r="B62" s="342"/>
      <c r="C62" s="342"/>
      <c r="D62" s="342"/>
      <c r="E62" s="342"/>
      <c r="F62" s="342"/>
      <c r="G62" s="342"/>
      <c r="H62" s="342"/>
      <c r="I62" s="342"/>
      <c r="J62" s="342"/>
      <c r="K62" s="342"/>
      <c r="L62" s="342"/>
      <c r="M62" s="342"/>
      <c r="N62" s="342"/>
      <c r="O62" s="342"/>
      <c r="P62" s="342"/>
      <c r="Q62" s="342"/>
    </row>
    <row r="63" spans="1:252" outlineLevel="1">
      <c r="A63" s="192" t="s">
        <v>188</v>
      </c>
      <c r="B63" s="142"/>
      <c r="C63" s="142"/>
      <c r="D63" s="142"/>
      <c r="E63" s="142"/>
      <c r="F63" s="142"/>
      <c r="G63" s="142"/>
      <c r="H63" s="142"/>
      <c r="I63" s="142"/>
      <c r="J63" s="142"/>
      <c r="K63" s="142"/>
      <c r="L63" s="142"/>
      <c r="M63" s="142"/>
      <c r="N63" s="142"/>
      <c r="O63" s="142"/>
      <c r="P63" s="142"/>
      <c r="Q63" s="157"/>
    </row>
    <row r="64" spans="1:252" ht="15.75" outlineLevel="1" thickBot="1">
      <c r="A64" s="142"/>
      <c r="B64" s="142"/>
      <c r="C64" s="142"/>
      <c r="D64" s="142"/>
      <c r="E64" s="142"/>
      <c r="F64" s="142"/>
      <c r="G64" s="142"/>
      <c r="H64" s="142"/>
      <c r="I64" s="142"/>
      <c r="J64" s="142"/>
      <c r="K64" s="142"/>
      <c r="L64" s="142"/>
      <c r="M64" s="142"/>
      <c r="N64" s="142"/>
      <c r="O64" s="142"/>
      <c r="P64" s="142"/>
      <c r="Q64" s="157"/>
    </row>
    <row r="65" spans="1:251" s="212" customFormat="1" ht="16.5" outlineLevel="1" thickBot="1">
      <c r="A65" s="208"/>
      <c r="B65" s="209">
        <v>2019</v>
      </c>
      <c r="C65" s="209">
        <v>2020</v>
      </c>
      <c r="D65" s="209">
        <v>2021</v>
      </c>
      <c r="E65" s="209">
        <v>2022</v>
      </c>
      <c r="F65" s="209">
        <v>2023</v>
      </c>
      <c r="G65" s="209">
        <v>2024</v>
      </c>
      <c r="H65" s="209">
        <v>2025</v>
      </c>
      <c r="I65" s="209">
        <v>2026</v>
      </c>
      <c r="J65" s="209">
        <v>2027</v>
      </c>
      <c r="K65" s="209">
        <v>2028</v>
      </c>
      <c r="L65" s="209">
        <v>2029</v>
      </c>
      <c r="M65" s="209">
        <v>2030</v>
      </c>
      <c r="N65" s="209">
        <v>2031</v>
      </c>
      <c r="O65" s="209">
        <v>2032</v>
      </c>
      <c r="P65" s="209">
        <v>2033</v>
      </c>
      <c r="Q65" s="209">
        <v>2034</v>
      </c>
      <c r="R65" s="209">
        <v>2035</v>
      </c>
      <c r="S65" s="209">
        <v>2036</v>
      </c>
      <c r="T65" s="209">
        <v>2037</v>
      </c>
      <c r="U65" s="209">
        <v>2038</v>
      </c>
      <c r="V65" s="209">
        <v>2039</v>
      </c>
      <c r="W65" s="209">
        <v>2040</v>
      </c>
      <c r="X65" s="209">
        <v>2041</v>
      </c>
      <c r="Y65" s="209">
        <v>2042</v>
      </c>
      <c r="Z65" s="209">
        <v>2043</v>
      </c>
      <c r="AA65" s="209">
        <v>2044</v>
      </c>
      <c r="AB65" s="209">
        <v>2045</v>
      </c>
      <c r="AC65" s="209">
        <v>2046</v>
      </c>
      <c r="AD65" s="209">
        <v>2047</v>
      </c>
      <c r="AE65" s="209">
        <v>2048</v>
      </c>
      <c r="AF65" s="209">
        <v>2049</v>
      </c>
      <c r="AG65" s="210">
        <v>2050</v>
      </c>
      <c r="AH65" s="211"/>
    </row>
    <row r="66" spans="1:251" s="215" customFormat="1" ht="15.75" outlineLevel="1">
      <c r="A66" s="213" t="s">
        <v>218</v>
      </c>
      <c r="B66" s="214">
        <v>23.545594999999999</v>
      </c>
      <c r="C66" s="214">
        <v>24.077010999999999</v>
      </c>
      <c r="D66" s="214">
        <v>24.670252000000001</v>
      </c>
      <c r="E66" s="214">
        <v>25.320588999999998</v>
      </c>
      <c r="F66" s="214">
        <v>26.03801</v>
      </c>
      <c r="G66" s="214">
        <v>26.800664999999999</v>
      </c>
      <c r="H66" s="214">
        <v>27.627367</v>
      </c>
      <c r="I66" s="214">
        <v>28.442335</v>
      </c>
      <c r="J66" s="214">
        <v>29.247252</v>
      </c>
      <c r="K66" s="214">
        <v>30.026219999999999</v>
      </c>
      <c r="L66" s="214">
        <v>30.771042000000001</v>
      </c>
      <c r="M66" s="214">
        <v>31.481788999999999</v>
      </c>
      <c r="N66" s="214">
        <v>32.154812</v>
      </c>
      <c r="O66" s="214">
        <v>32.788176999999997</v>
      </c>
      <c r="P66" s="214">
        <v>33.381782999999999</v>
      </c>
      <c r="Q66" s="214">
        <v>33.93647</v>
      </c>
      <c r="R66" s="214">
        <v>34.446136000000003</v>
      </c>
      <c r="S66" s="214">
        <v>34.911861000000002</v>
      </c>
      <c r="T66" s="214">
        <v>35.331828999999999</v>
      </c>
      <c r="U66" s="214">
        <v>35.709698000000003</v>
      </c>
      <c r="V66" s="214">
        <v>36.045521000000001</v>
      </c>
      <c r="W66" s="214">
        <v>36.343986999999998</v>
      </c>
      <c r="X66" s="214">
        <v>36.780114843999996</v>
      </c>
      <c r="Y66" s="214">
        <v>37.221476222127997</v>
      </c>
      <c r="Z66" s="214">
        <v>37.668133936793531</v>
      </c>
      <c r="AA66" s="214">
        <v>38.120151544035053</v>
      </c>
      <c r="AB66" s="214">
        <v>38.577593362563476</v>
      </c>
      <c r="AC66" s="214">
        <v>39.040524482914236</v>
      </c>
      <c r="AD66" s="214">
        <v>39.509010776709211</v>
      </c>
      <c r="AE66" s="214">
        <v>39.983118906029723</v>
      </c>
      <c r="AF66" s="214">
        <v>40.462916332902083</v>
      </c>
      <c r="AG66" s="214">
        <v>40.948471328896908</v>
      </c>
      <c r="AH66" s="211"/>
      <c r="AI66" s="212"/>
      <c r="AJ66" s="212"/>
      <c r="AK66" s="212"/>
      <c r="AL66" s="212"/>
      <c r="AM66" s="212"/>
      <c r="AN66" s="212"/>
      <c r="AO66" s="212"/>
      <c r="AP66" s="212"/>
      <c r="AQ66" s="212"/>
      <c r="AR66" s="212"/>
      <c r="AS66" s="212"/>
      <c r="AT66" s="212"/>
    </row>
    <row r="67" spans="1:251" ht="15.75" outlineLevel="1">
      <c r="A67" s="216" t="s">
        <v>146</v>
      </c>
      <c r="B67" s="217">
        <v>0</v>
      </c>
      <c r="C67" s="217">
        <f t="shared" ref="C67:AG67" si="23">(C66-B66)/B66</f>
        <v>2.2569656872124071E-2</v>
      </c>
      <c r="D67" s="217">
        <f t="shared" si="23"/>
        <v>2.4639312579123822E-2</v>
      </c>
      <c r="E67" s="217">
        <f t="shared" si="23"/>
        <v>2.6361181880103893E-2</v>
      </c>
      <c r="F67" s="217">
        <f t="shared" si="23"/>
        <v>2.8333503616365389E-2</v>
      </c>
      <c r="G67" s="217">
        <f t="shared" si="23"/>
        <v>2.9290064793738031E-2</v>
      </c>
      <c r="H67" s="217">
        <f t="shared" si="23"/>
        <v>3.0846324149046339E-2</v>
      </c>
      <c r="I67" s="217">
        <f t="shared" si="23"/>
        <v>2.9498576538256445E-2</v>
      </c>
      <c r="J67" s="217">
        <f t="shared" si="23"/>
        <v>2.8299962010854583E-2</v>
      </c>
      <c r="K67" s="217">
        <f t="shared" si="23"/>
        <v>2.6633886834906712E-2</v>
      </c>
      <c r="L67" s="217">
        <f t="shared" si="23"/>
        <v>2.4805719800894112E-2</v>
      </c>
      <c r="M67" s="217">
        <f t="shared" si="23"/>
        <v>2.3097917841066212E-2</v>
      </c>
      <c r="N67" s="217">
        <f t="shared" si="23"/>
        <v>2.1378168820075653E-2</v>
      </c>
      <c r="O67" s="217">
        <f t="shared" si="23"/>
        <v>1.9697362870602315E-2</v>
      </c>
      <c r="P67" s="217">
        <f t="shared" si="23"/>
        <v>1.8104269718929516E-2</v>
      </c>
      <c r="Q67" s="217">
        <f t="shared" si="23"/>
        <v>1.6616458144251951E-2</v>
      </c>
      <c r="R67" s="217">
        <f t="shared" si="23"/>
        <v>1.5018238490921503E-2</v>
      </c>
      <c r="S67" s="217">
        <f t="shared" si="23"/>
        <v>1.3520384405380012E-2</v>
      </c>
      <c r="T67" s="217">
        <f t="shared" si="23"/>
        <v>1.2029378783330892E-2</v>
      </c>
      <c r="U67" s="217">
        <f t="shared" si="23"/>
        <v>1.0694860999129256E-2</v>
      </c>
      <c r="V67" s="217">
        <f t="shared" si="23"/>
        <v>9.4042520325990364E-3</v>
      </c>
      <c r="W67" s="217">
        <f t="shared" si="23"/>
        <v>8.2802520734822412E-3</v>
      </c>
      <c r="X67" s="217">
        <f t="shared" si="23"/>
        <v>1.1999999999999941E-2</v>
      </c>
      <c r="Y67" s="217">
        <f t="shared" si="23"/>
        <v>1.2000000000000018E-2</v>
      </c>
      <c r="Z67" s="217">
        <f t="shared" si="23"/>
        <v>1.1999999999999946E-2</v>
      </c>
      <c r="AA67" s="217">
        <f t="shared" si="23"/>
        <v>1.2000000000000004E-2</v>
      </c>
      <c r="AB67" s="217">
        <f t="shared" si="23"/>
        <v>1.2000000000000063E-2</v>
      </c>
      <c r="AC67" s="217">
        <f t="shared" si="23"/>
        <v>1.199999999999995E-2</v>
      </c>
      <c r="AD67" s="217">
        <f t="shared" si="23"/>
        <v>1.2000000000000094E-2</v>
      </c>
      <c r="AE67" s="217">
        <f t="shared" si="23"/>
        <v>1.2000000000000056E-2</v>
      </c>
      <c r="AF67" s="217">
        <f t="shared" si="23"/>
        <v>1.2000000000000064E-2</v>
      </c>
      <c r="AG67" s="217">
        <f t="shared" si="23"/>
        <v>1.1999999999999997E-2</v>
      </c>
      <c r="AH67" s="211"/>
      <c r="AI67" s="212"/>
      <c r="AJ67" s="212"/>
      <c r="AK67" s="212"/>
      <c r="AL67" s="212"/>
      <c r="AM67" s="212"/>
      <c r="AN67" s="212"/>
      <c r="AO67" s="212"/>
      <c r="AP67" s="212"/>
      <c r="AQ67" s="212"/>
      <c r="AR67" s="212"/>
      <c r="AS67" s="212"/>
      <c r="AT67" s="212"/>
    </row>
    <row r="68" spans="1:251" outlineLevel="1">
      <c r="A68" s="146"/>
      <c r="B68" s="149"/>
      <c r="C68" s="149"/>
      <c r="D68" s="149"/>
      <c r="E68" s="149"/>
      <c r="F68" s="149"/>
      <c r="G68" s="149"/>
      <c r="H68" s="149"/>
      <c r="I68" s="149"/>
      <c r="J68" s="149"/>
      <c r="K68" s="152"/>
      <c r="L68" s="149"/>
      <c r="M68" s="149"/>
      <c r="N68" s="149"/>
      <c r="O68" s="152"/>
      <c r="P68" s="149"/>
      <c r="Q68" s="149"/>
      <c r="R68" s="149"/>
      <c r="S68" s="149"/>
      <c r="T68" s="149"/>
      <c r="U68" s="149"/>
      <c r="V68" s="149"/>
      <c r="W68" s="149"/>
      <c r="X68" s="149"/>
      <c r="Y68" s="149"/>
      <c r="Z68" s="149"/>
      <c r="AA68" s="149"/>
      <c r="AB68" s="149"/>
      <c r="AC68" s="149"/>
      <c r="AD68" s="149"/>
      <c r="AE68" s="149"/>
      <c r="AF68" s="149"/>
      <c r="AG68" s="149"/>
      <c r="AH68" s="149"/>
      <c r="AI68" s="150"/>
      <c r="AJ68" s="151"/>
      <c r="AK68" s="151"/>
      <c r="AL68" s="151"/>
      <c r="AM68" s="151"/>
      <c r="AN68" s="151"/>
      <c r="AO68" s="151"/>
      <c r="AP68" s="151"/>
      <c r="AQ68" s="151"/>
      <c r="AR68" s="151"/>
      <c r="AS68" s="151"/>
      <c r="AT68" s="151"/>
      <c r="AU68" s="151"/>
    </row>
    <row r="69" spans="1:251" s="71" customFormat="1" ht="20.25">
      <c r="A69" s="103" t="s">
        <v>147</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39"/>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c r="EO69" s="90"/>
      <c r="EP69" s="90"/>
      <c r="EQ69" s="90"/>
      <c r="ER69" s="90"/>
      <c r="ES69" s="90"/>
      <c r="ET69" s="90"/>
      <c r="EU69" s="90"/>
      <c r="EV69" s="90"/>
      <c r="EW69" s="90"/>
      <c r="EX69" s="90"/>
      <c r="EY69" s="90"/>
      <c r="EZ69" s="90"/>
      <c r="FA69" s="90"/>
      <c r="FB69" s="90"/>
      <c r="FC69" s="90"/>
      <c r="FD69" s="90"/>
      <c r="FE69" s="90"/>
      <c r="FF69" s="90"/>
      <c r="FG69" s="90"/>
      <c r="FH69" s="90"/>
      <c r="FI69" s="90"/>
      <c r="FJ69" s="90"/>
      <c r="FK69" s="90"/>
      <c r="FL69" s="90"/>
      <c r="FM69" s="90"/>
      <c r="FN69" s="90"/>
      <c r="FO69" s="90"/>
      <c r="FP69" s="90"/>
      <c r="FQ69" s="90"/>
      <c r="FR69" s="90"/>
      <c r="FS69" s="90"/>
      <c r="FT69" s="90"/>
      <c r="FU69" s="90"/>
      <c r="FV69" s="90"/>
      <c r="FW69" s="90"/>
      <c r="FX69" s="90"/>
      <c r="FY69" s="90"/>
      <c r="FZ69" s="90"/>
      <c r="GA69" s="90"/>
      <c r="GB69" s="90"/>
      <c r="GC69" s="90"/>
      <c r="GD69" s="90"/>
      <c r="GE69" s="90"/>
      <c r="GF69" s="90"/>
      <c r="GG69" s="90"/>
      <c r="GH69" s="90"/>
      <c r="GI69" s="90"/>
      <c r="GJ69" s="90"/>
      <c r="GK69" s="90"/>
      <c r="GL69" s="90"/>
      <c r="GM69" s="90"/>
      <c r="GN69" s="90"/>
      <c r="GO69" s="90"/>
      <c r="GP69" s="90"/>
      <c r="GQ69" s="90"/>
      <c r="GR69" s="90"/>
      <c r="GS69" s="90"/>
      <c r="GT69" s="90"/>
      <c r="GU69" s="90"/>
      <c r="GV69" s="90"/>
      <c r="GW69" s="90"/>
      <c r="GX69" s="90"/>
      <c r="GY69" s="90"/>
      <c r="GZ69" s="90"/>
      <c r="HA69" s="90"/>
      <c r="HB69" s="90"/>
      <c r="HC69" s="90"/>
      <c r="HD69" s="90"/>
      <c r="HE69" s="90"/>
      <c r="HF69" s="90"/>
      <c r="HG69" s="90"/>
      <c r="HH69" s="90"/>
      <c r="HI69" s="90"/>
      <c r="HJ69" s="90"/>
      <c r="HK69" s="90"/>
      <c r="HL69" s="90"/>
      <c r="HM69" s="90"/>
      <c r="HN69" s="90"/>
      <c r="HO69" s="90"/>
      <c r="HP69" s="90"/>
      <c r="HQ69" s="90"/>
      <c r="HR69" s="90"/>
      <c r="HS69" s="90"/>
      <c r="HT69" s="90"/>
      <c r="HU69" s="90"/>
      <c r="HV69" s="90"/>
      <c r="HW69" s="90"/>
      <c r="HX69" s="90"/>
      <c r="HY69" s="90"/>
      <c r="HZ69" s="90"/>
      <c r="IA69" s="90"/>
      <c r="IB69" s="90"/>
      <c r="IC69" s="90"/>
      <c r="ID69" s="90"/>
      <c r="IE69" s="90"/>
      <c r="IF69" s="90"/>
      <c r="IG69" s="90"/>
      <c r="IH69" s="90"/>
      <c r="II69" s="90"/>
      <c r="IJ69" s="90"/>
      <c r="IK69" s="90"/>
      <c r="IL69" s="90"/>
      <c r="IM69" s="90"/>
      <c r="IN69" s="90"/>
      <c r="IO69" s="90"/>
      <c r="IP69" s="90"/>
      <c r="IQ69" s="90"/>
    </row>
    <row r="70" spans="1:251" s="153" customFormat="1" ht="15.75" outlineLevel="1">
      <c r="A70" s="264" t="s">
        <v>148</v>
      </c>
      <c r="B70" s="265"/>
      <c r="C70" s="265"/>
      <c r="D70" s="265"/>
      <c r="E70" s="265"/>
      <c r="F70" s="265"/>
      <c r="G70" s="265"/>
      <c r="H70" s="265"/>
      <c r="I70" s="266"/>
    </row>
    <row r="71" spans="1:251" s="193" customFormat="1" ht="15.75" outlineLevel="1">
      <c r="A71" s="141" t="s">
        <v>149</v>
      </c>
      <c r="B71" s="141" t="s">
        <v>150</v>
      </c>
      <c r="C71" s="141" t="s">
        <v>151</v>
      </c>
      <c r="D71" s="141" t="s">
        <v>152</v>
      </c>
      <c r="E71" s="328" t="s">
        <v>45</v>
      </c>
      <c r="F71" s="329"/>
      <c r="G71" s="329"/>
      <c r="H71" s="329"/>
      <c r="I71" s="330"/>
    </row>
    <row r="72" spans="1:251" s="193" customFormat="1" ht="19.5" outlineLevel="1">
      <c r="A72" s="194" t="s">
        <v>211</v>
      </c>
      <c r="B72" s="194" t="s">
        <v>153</v>
      </c>
      <c r="C72" s="195">
        <v>8.7799999999999996E-3</v>
      </c>
      <c r="D72" s="194" t="s">
        <v>212</v>
      </c>
      <c r="E72" s="331" t="s">
        <v>154</v>
      </c>
      <c r="F72" s="331"/>
      <c r="G72" s="331"/>
      <c r="H72" s="331"/>
      <c r="I72" s="331"/>
      <c r="J72" s="196"/>
      <c r="K72" s="196"/>
      <c r="L72" s="196"/>
    </row>
    <row r="73" spans="1:251" s="193" customFormat="1" ht="19.5" outlineLevel="1">
      <c r="A73" s="197" t="s">
        <v>213</v>
      </c>
      <c r="B73" s="197" t="s">
        <v>155</v>
      </c>
      <c r="C73" s="195">
        <v>0.02</v>
      </c>
      <c r="D73" s="194" t="s">
        <v>214</v>
      </c>
      <c r="E73" s="331"/>
      <c r="F73" s="331"/>
      <c r="G73" s="331"/>
      <c r="H73" s="331"/>
      <c r="I73" s="331"/>
      <c r="J73" s="198"/>
      <c r="K73" s="198"/>
      <c r="L73" s="198"/>
    </row>
    <row r="74" spans="1:251" s="193" customFormat="1" ht="19.5" outlineLevel="1">
      <c r="A74" s="197" t="s">
        <v>213</v>
      </c>
      <c r="B74" s="197" t="s">
        <v>156</v>
      </c>
      <c r="C74" s="195">
        <v>2.3E-2</v>
      </c>
      <c r="D74" s="194" t="s">
        <v>214</v>
      </c>
      <c r="E74" s="331"/>
      <c r="F74" s="331"/>
      <c r="G74" s="331"/>
      <c r="H74" s="331"/>
      <c r="I74" s="331"/>
      <c r="J74" s="199"/>
      <c r="K74" s="199"/>
      <c r="L74" s="200"/>
    </row>
    <row r="75" spans="1:251" s="193" customFormat="1" ht="19.5" outlineLevel="1">
      <c r="A75" s="197" t="s">
        <v>215</v>
      </c>
      <c r="B75" s="197" t="s">
        <v>157</v>
      </c>
      <c r="C75" s="195">
        <v>3.3300000000000003E-2</v>
      </c>
      <c r="D75" s="194" t="s">
        <v>214</v>
      </c>
      <c r="E75" s="331"/>
      <c r="F75" s="331"/>
      <c r="G75" s="331"/>
      <c r="H75" s="331"/>
      <c r="I75" s="331"/>
      <c r="J75" s="198"/>
      <c r="K75" s="198"/>
      <c r="L75" s="198"/>
    </row>
    <row r="76" spans="1:251" s="193" customFormat="1" ht="19.5" outlineLevel="1">
      <c r="A76" s="197" t="s">
        <v>215</v>
      </c>
      <c r="B76" s="197" t="s">
        <v>158</v>
      </c>
      <c r="C76" s="195">
        <v>6.8999999999999999E-3</v>
      </c>
      <c r="D76" s="194" t="s">
        <v>214</v>
      </c>
      <c r="E76" s="331"/>
      <c r="F76" s="331"/>
      <c r="G76" s="331"/>
      <c r="H76" s="331"/>
      <c r="I76" s="331"/>
      <c r="J76" s="201"/>
      <c r="K76" s="201"/>
      <c r="L76" s="202"/>
    </row>
    <row r="77" spans="1:251" s="193" customFormat="1" ht="19.5" outlineLevel="1">
      <c r="A77" s="197" t="s">
        <v>216</v>
      </c>
      <c r="B77" s="197" t="s">
        <v>155</v>
      </c>
      <c r="C77" s="195">
        <v>1.7000000000000001E-2</v>
      </c>
      <c r="D77" s="194" t="s">
        <v>217</v>
      </c>
      <c r="E77" s="331"/>
      <c r="F77" s="331"/>
      <c r="G77" s="331"/>
      <c r="H77" s="331"/>
      <c r="I77" s="331"/>
      <c r="J77" s="198"/>
      <c r="K77" s="198"/>
      <c r="L77" s="198"/>
    </row>
    <row r="78" spans="1:251" s="193" customFormat="1" ht="19.5" outlineLevel="1">
      <c r="A78" s="197" t="s">
        <v>216</v>
      </c>
      <c r="B78" s="197" t="s">
        <v>156</v>
      </c>
      <c r="C78" s="195">
        <v>2.5000000000000001E-2</v>
      </c>
      <c r="D78" s="194" t="s">
        <v>217</v>
      </c>
      <c r="E78" s="331"/>
      <c r="F78" s="331"/>
      <c r="G78" s="331"/>
      <c r="H78" s="331"/>
      <c r="I78" s="331"/>
      <c r="J78" s="203"/>
      <c r="K78" s="203"/>
      <c r="L78" s="202"/>
    </row>
    <row r="79" spans="1:251" s="193" customFormat="1" ht="19.5" outlineLevel="1">
      <c r="A79" s="197" t="s">
        <v>216</v>
      </c>
      <c r="B79" s="197" t="s">
        <v>157</v>
      </c>
      <c r="C79" s="195">
        <v>1.34E-2</v>
      </c>
      <c r="D79" s="194" t="s">
        <v>217</v>
      </c>
      <c r="E79" s="331"/>
      <c r="F79" s="331"/>
      <c r="G79" s="331"/>
      <c r="H79" s="331"/>
      <c r="I79" s="331"/>
    </row>
    <row r="80" spans="1:251" s="193" customFormat="1" ht="19.5" outlineLevel="1">
      <c r="A80" s="197" t="s">
        <v>216</v>
      </c>
      <c r="B80" s="197" t="s">
        <v>158</v>
      </c>
      <c r="C80" s="195">
        <v>6.7699999999999996E-2</v>
      </c>
      <c r="D80" s="194" t="s">
        <v>217</v>
      </c>
      <c r="E80" s="331"/>
      <c r="F80" s="331"/>
      <c r="G80" s="331"/>
      <c r="H80" s="331"/>
      <c r="I80" s="331"/>
    </row>
    <row r="81" spans="1:9" s="193" customFormat="1" outlineLevel="1">
      <c r="A81" s="204"/>
      <c r="B81" s="204"/>
      <c r="C81" s="204"/>
      <c r="E81" s="205"/>
      <c r="F81" s="206"/>
    </row>
    <row r="82" spans="1:9" s="193" customFormat="1" ht="15.75" outlineLevel="1">
      <c r="A82" s="264" t="s">
        <v>159</v>
      </c>
      <c r="B82" s="265"/>
      <c r="C82" s="265"/>
      <c r="D82" s="265"/>
      <c r="E82" s="265"/>
      <c r="F82" s="265"/>
      <c r="G82" s="265"/>
      <c r="H82" s="265"/>
      <c r="I82" s="266"/>
    </row>
    <row r="83" spans="1:9" s="193" customFormat="1" ht="15.75" outlineLevel="1">
      <c r="A83" s="141" t="s">
        <v>149</v>
      </c>
      <c r="B83" s="141" t="s">
        <v>150</v>
      </c>
      <c r="C83" s="141" t="s">
        <v>151</v>
      </c>
      <c r="D83" s="141" t="s">
        <v>152</v>
      </c>
      <c r="E83" s="328" t="s">
        <v>45</v>
      </c>
      <c r="F83" s="329"/>
      <c r="G83" s="329"/>
      <c r="H83" s="329"/>
      <c r="I83" s="330"/>
    </row>
    <row r="84" spans="1:9" s="193" customFormat="1" ht="19.5" outlineLevel="1">
      <c r="A84" s="194" t="s">
        <v>211</v>
      </c>
      <c r="B84" s="194" t="s">
        <v>153</v>
      </c>
      <c r="C84" s="195">
        <v>1.021E-2</v>
      </c>
      <c r="D84" s="194" t="s">
        <v>212</v>
      </c>
      <c r="E84" s="331" t="s">
        <v>154</v>
      </c>
      <c r="F84" s="331"/>
      <c r="G84" s="331"/>
      <c r="H84" s="331"/>
      <c r="I84" s="331"/>
    </row>
    <row r="85" spans="1:9" s="193" customFormat="1" ht="19.5" outlineLevel="1">
      <c r="A85" s="197" t="s">
        <v>213</v>
      </c>
      <c r="B85" s="197" t="s">
        <v>155</v>
      </c>
      <c r="C85" s="195">
        <v>5.0000000000000001E-4</v>
      </c>
      <c r="D85" s="194" t="s">
        <v>214</v>
      </c>
      <c r="E85" s="331"/>
      <c r="F85" s="331"/>
      <c r="G85" s="331"/>
      <c r="H85" s="331"/>
      <c r="I85" s="331"/>
    </row>
    <row r="86" spans="1:9" s="193" customFormat="1" ht="19.5" outlineLevel="1">
      <c r="A86" s="197" t="s">
        <v>213</v>
      </c>
      <c r="B86" s="197" t="s">
        <v>156</v>
      </c>
      <c r="C86" s="195">
        <v>1E-3</v>
      </c>
      <c r="D86" s="194" t="s">
        <v>214</v>
      </c>
      <c r="E86" s="331"/>
      <c r="F86" s="331"/>
      <c r="G86" s="331"/>
      <c r="H86" s="331"/>
      <c r="I86" s="331"/>
    </row>
    <row r="87" spans="1:9" s="193" customFormat="1" ht="19.5" outlineLevel="1">
      <c r="A87" s="197" t="s">
        <v>215</v>
      </c>
      <c r="B87" s="197" t="s">
        <v>157</v>
      </c>
      <c r="C87" s="195">
        <v>5.1000000000000004E-3</v>
      </c>
      <c r="D87" s="194" t="s">
        <v>214</v>
      </c>
      <c r="E87" s="331"/>
      <c r="F87" s="331"/>
      <c r="G87" s="331"/>
      <c r="H87" s="331"/>
      <c r="I87" s="331"/>
    </row>
    <row r="88" spans="1:9" s="193" customFormat="1" ht="19.5" outlineLevel="1">
      <c r="A88" s="197" t="s">
        <v>216</v>
      </c>
      <c r="B88" s="197" t="s">
        <v>155</v>
      </c>
      <c r="C88" s="195">
        <v>1E-3</v>
      </c>
      <c r="D88" s="194" t="s">
        <v>217</v>
      </c>
      <c r="E88" s="331"/>
      <c r="F88" s="331"/>
      <c r="G88" s="331"/>
      <c r="H88" s="331"/>
      <c r="I88" s="331"/>
    </row>
    <row r="89" spans="1:9" s="193" customFormat="1" ht="19.5" outlineLevel="1">
      <c r="A89" s="197" t="s">
        <v>216</v>
      </c>
      <c r="B89" s="197" t="s">
        <v>156</v>
      </c>
      <c r="C89" s="195">
        <v>1.5E-3</v>
      </c>
      <c r="D89" s="194" t="s">
        <v>217</v>
      </c>
      <c r="E89" s="331"/>
      <c r="F89" s="331"/>
      <c r="G89" s="331"/>
      <c r="H89" s="331"/>
      <c r="I89" s="331"/>
    </row>
    <row r="90" spans="1:9" s="193" customFormat="1" ht="19.5" outlineLevel="1">
      <c r="A90" s="197" t="s">
        <v>216</v>
      </c>
      <c r="B90" s="197" t="s">
        <v>157</v>
      </c>
      <c r="C90" s="195">
        <v>4.7999999999999996E-3</v>
      </c>
      <c r="D90" s="194" t="s">
        <v>217</v>
      </c>
      <c r="E90" s="331"/>
      <c r="F90" s="331"/>
      <c r="G90" s="331"/>
      <c r="H90" s="331"/>
      <c r="I90" s="331"/>
    </row>
    <row r="91" spans="1:9" s="193" customFormat="1" outlineLevel="1">
      <c r="A91" s="204"/>
      <c r="B91" s="204"/>
      <c r="C91" s="207"/>
      <c r="D91" s="205"/>
      <c r="E91" s="205"/>
    </row>
    <row r="92" spans="1:9" s="193" customFormat="1" ht="15.75" outlineLevel="1">
      <c r="A92" s="264" t="s">
        <v>160</v>
      </c>
      <c r="B92" s="265"/>
      <c r="C92" s="265"/>
      <c r="D92" s="265"/>
      <c r="E92" s="265"/>
      <c r="F92" s="265"/>
      <c r="G92" s="265"/>
      <c r="H92" s="265"/>
      <c r="I92" s="266"/>
    </row>
    <row r="93" spans="1:9" s="193" customFormat="1" ht="15.75" outlineLevel="1">
      <c r="A93" s="141" t="s">
        <v>149</v>
      </c>
      <c r="B93" s="141" t="s">
        <v>150</v>
      </c>
      <c r="C93" s="141" t="s">
        <v>151</v>
      </c>
      <c r="D93" s="141" t="s">
        <v>152</v>
      </c>
      <c r="E93" s="328" t="s">
        <v>45</v>
      </c>
      <c r="F93" s="329"/>
      <c r="G93" s="329"/>
      <c r="H93" s="329"/>
      <c r="I93" s="330"/>
    </row>
    <row r="94" spans="1:9" s="193" customFormat="1" ht="19.5" outlineLevel="1">
      <c r="A94" s="194" t="s">
        <v>211</v>
      </c>
      <c r="B94" s="194" t="s">
        <v>153</v>
      </c>
      <c r="C94" s="195">
        <v>5.7499999999999999E-3</v>
      </c>
      <c r="D94" s="194" t="s">
        <v>212</v>
      </c>
      <c r="E94" s="331" t="s">
        <v>161</v>
      </c>
      <c r="F94" s="331"/>
      <c r="G94" s="331"/>
      <c r="H94" s="331"/>
      <c r="I94" s="331"/>
    </row>
    <row r="95" spans="1:9" s="193" customFormat="1" ht="19.5" outlineLevel="1">
      <c r="A95" s="197" t="s">
        <v>213</v>
      </c>
      <c r="B95" s="197" t="s">
        <v>162</v>
      </c>
      <c r="C95" s="195">
        <v>5.5E-2</v>
      </c>
      <c r="D95" s="194" t="s">
        <v>214</v>
      </c>
      <c r="E95" s="331" t="s">
        <v>163</v>
      </c>
      <c r="F95" s="331"/>
      <c r="G95" s="331"/>
      <c r="H95" s="331"/>
      <c r="I95" s="331"/>
    </row>
    <row r="96" spans="1:9" s="193" customFormat="1" ht="19.5" outlineLevel="1">
      <c r="A96" s="197" t="s">
        <v>215</v>
      </c>
      <c r="B96" s="197" t="s">
        <v>164</v>
      </c>
      <c r="C96" s="195">
        <v>0.19700000000000001</v>
      </c>
      <c r="D96" s="194" t="s">
        <v>214</v>
      </c>
      <c r="E96" s="331"/>
      <c r="F96" s="331"/>
      <c r="G96" s="331"/>
      <c r="H96" s="331"/>
      <c r="I96" s="331"/>
    </row>
    <row r="97" spans="1:9" s="193" customFormat="1" ht="19.5" outlineLevel="1">
      <c r="A97" s="197" t="s">
        <v>216</v>
      </c>
      <c r="B97" s="197" t="s">
        <v>162</v>
      </c>
      <c r="C97" s="195">
        <v>6.7000000000000004E-2</v>
      </c>
      <c r="D97" s="194" t="s">
        <v>217</v>
      </c>
      <c r="E97" s="331"/>
      <c r="F97" s="331"/>
      <c r="G97" s="331"/>
      <c r="H97" s="331"/>
      <c r="I97" s="331"/>
    </row>
    <row r="98" spans="1:9" s="193" customFormat="1" ht="19.5" outlineLevel="1">
      <c r="A98" s="197" t="s">
        <v>216</v>
      </c>
      <c r="B98" s="197" t="s">
        <v>164</v>
      </c>
      <c r="C98" s="195">
        <v>0.17499999999999999</v>
      </c>
      <c r="D98" s="194" t="s">
        <v>217</v>
      </c>
      <c r="E98" s="331"/>
      <c r="F98" s="331"/>
      <c r="G98" s="331"/>
      <c r="H98" s="331"/>
      <c r="I98" s="331"/>
    </row>
  </sheetData>
  <mergeCells count="30">
    <mergeCell ref="A70:I70"/>
    <mergeCell ref="E71:I71"/>
    <mergeCell ref="A51:AU51"/>
    <mergeCell ref="A48:Q48"/>
    <mergeCell ref="A52:Q52"/>
    <mergeCell ref="A61:AU61"/>
    <mergeCell ref="A62:Q62"/>
    <mergeCell ref="A43:AW43"/>
    <mergeCell ref="A44:Q44"/>
    <mergeCell ref="A45:Q45"/>
    <mergeCell ref="A46:Q46"/>
    <mergeCell ref="A47:Q47"/>
    <mergeCell ref="A38:AU38"/>
    <mergeCell ref="A39:J39"/>
    <mergeCell ref="A40:Q40"/>
    <mergeCell ref="A41:Q41"/>
    <mergeCell ref="A42:AU42"/>
    <mergeCell ref="A4:A26"/>
    <mergeCell ref="B4:B26"/>
    <mergeCell ref="A28:A35"/>
    <mergeCell ref="B28:B31"/>
    <mergeCell ref="B32:B35"/>
    <mergeCell ref="A92:I92"/>
    <mergeCell ref="E93:I93"/>
    <mergeCell ref="E94:I94"/>
    <mergeCell ref="E95:I98"/>
    <mergeCell ref="E72:I80"/>
    <mergeCell ref="A82:I82"/>
    <mergeCell ref="E83:I83"/>
    <mergeCell ref="E84:I9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Constants and Trends</vt:lpstr>
      <vt:lpstr>Business As Usual</vt:lpstr>
      <vt:lpstr>On-Road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Ferguson</dc:creator>
  <cp:lastModifiedBy>Martinelli, Domenic - CD</cp:lastModifiedBy>
  <dcterms:created xsi:type="dcterms:W3CDTF">2020-07-07T21:05:36Z</dcterms:created>
  <dcterms:modified xsi:type="dcterms:W3CDTF">2021-10-11T23:23:49Z</dcterms:modified>
</cp:coreProperties>
</file>